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40" windowWidth="37840" windowHeight="20060" tabRatio="582" activeTab="4"/>
  </bookViews>
  <sheets>
    <sheet name="Instructions" sheetId="1" r:id="rId1"/>
    <sheet name="Data" sheetId="2" r:id="rId2"/>
    <sheet name="CSA B415.1 Calculations" sheetId="3" r:id="rId3"/>
    <sheet name="Report" sheetId="4" r:id="rId4"/>
    <sheet name="Chart" sheetId="5" r:id="rId5"/>
  </sheets>
  <definedNames>
    <definedName name="EFF" localSheetId="2">'CSA B415.1 Calculations'!$CA$2:$CA$3</definedName>
    <definedName name="EFF">#REF!</definedName>
    <definedName name="_xlnm.Print_Area" localSheetId="2">'CSA B415.1 Calculations'!$A$1:$BG$25</definedName>
    <definedName name="_xlnm.Print_Area" localSheetId="1">'Data'!$A$1:$M$38</definedName>
    <definedName name="_xlnm.Print_Area" localSheetId="0">'Instructions'!$A$1:$J$46</definedName>
    <definedName name="_xlnm.Print_Area" localSheetId="3">'Report'!$A$1:$I$39</definedName>
    <definedName name="Print_Area_MI" localSheetId="2">'CSA B415.1 Calculations'!$BE$1:$BM$43</definedName>
    <definedName name="Print_Area_MI">#REF!</definedName>
  </definedNames>
  <calcPr fullCalcOnLoad="1" iterate="1" iterateCount="100" iterateDelta="0.001"/>
</workbook>
</file>

<file path=xl/sharedStrings.xml><?xml version="1.0" encoding="utf-8"?>
<sst xmlns="http://schemas.openxmlformats.org/spreadsheetml/2006/main" count="277" uniqueCount="208">
  <si>
    <t>Weight</t>
  </si>
  <si>
    <t xml:space="preserve"> </t>
  </si>
  <si>
    <t>Room</t>
  </si>
  <si>
    <t>Stack</t>
  </si>
  <si>
    <t>Time</t>
  </si>
  <si>
    <t>CO</t>
  </si>
  <si>
    <t>Temp</t>
  </si>
  <si>
    <t>Moisture</t>
  </si>
  <si>
    <t>Burn Rate</t>
  </si>
  <si>
    <t>Overall Heating Efficiency:</t>
  </si>
  <si>
    <t xml:space="preserve">     Combustion Efficiency:</t>
  </si>
  <si>
    <t>Combustion Efficiency:</t>
  </si>
  <si>
    <t xml:space="preserve">  Heat Transfer Efficiency:</t>
  </si>
  <si>
    <t>CA:</t>
  </si>
  <si>
    <t xml:space="preserve">    Heat Output:</t>
  </si>
  <si>
    <t>Efficiency:</t>
  </si>
  <si>
    <t xml:space="preserve">     Heat Input:</t>
  </si>
  <si>
    <t xml:space="preserve">  Burn Duration:</t>
  </si>
  <si>
    <t xml:space="preserve">      Burn Rate:</t>
  </si>
  <si>
    <t xml:space="preserve">Fuel Heating </t>
  </si>
  <si>
    <t xml:space="preserve">     Stack Temp:</t>
  </si>
  <si>
    <t>Combust</t>
  </si>
  <si>
    <t>Heat</t>
  </si>
  <si>
    <t>Net</t>
  </si>
  <si>
    <t>Mw</t>
  </si>
  <si>
    <t>Total</t>
  </si>
  <si>
    <t>%</t>
  </si>
  <si>
    <t>Eff</t>
  </si>
  <si>
    <t>Transfer</t>
  </si>
  <si>
    <t>HC</t>
  </si>
  <si>
    <t>K</t>
  </si>
  <si>
    <t>Fuel</t>
  </si>
  <si>
    <t>Nk</t>
  </si>
  <si>
    <t>Present</t>
  </si>
  <si>
    <t>Elapsed</t>
  </si>
  <si>
    <t>Flue</t>
  </si>
  <si>
    <t>Gas</t>
  </si>
  <si>
    <t>min</t>
  </si>
  <si>
    <t>Comb Eff</t>
  </si>
  <si>
    <t>HT Eff</t>
  </si>
  <si>
    <t>Output</t>
  </si>
  <si>
    <t>Grams CO</t>
  </si>
  <si>
    <t>Input</t>
  </si>
  <si>
    <t>MC wet</t>
  </si>
  <si>
    <t>Manufacturer:</t>
  </si>
  <si>
    <t>Model:</t>
  </si>
  <si>
    <t>Date:</t>
  </si>
  <si>
    <t>Run:</t>
  </si>
  <si>
    <t>Control #:</t>
  </si>
  <si>
    <t xml:space="preserve">  Test Duration:</t>
  </si>
  <si>
    <t>Output Category:</t>
  </si>
  <si>
    <t>HHV</t>
  </si>
  <si>
    <t>LHV</t>
  </si>
  <si>
    <t>Averages</t>
  </si>
  <si>
    <r>
      <t>CO</t>
    </r>
    <r>
      <rPr>
        <b/>
        <vertAlign val="subscript"/>
        <sz val="12"/>
        <rFont val="Arial"/>
        <family val="2"/>
      </rPr>
      <t>2</t>
    </r>
  </si>
  <si>
    <r>
      <t>O</t>
    </r>
    <r>
      <rPr>
        <b/>
        <vertAlign val="subscript"/>
        <sz val="12"/>
        <rFont val="Arial"/>
        <family val="2"/>
      </rPr>
      <t>2</t>
    </r>
  </si>
  <si>
    <t>Fuel Data</t>
  </si>
  <si>
    <t>%C</t>
  </si>
  <si>
    <t>%H</t>
  </si>
  <si>
    <t>%O</t>
  </si>
  <si>
    <t>ABC Laboratories, Inc.</t>
  </si>
  <si>
    <t>Overall Efficiency</t>
  </si>
  <si>
    <t>Combustion Efficiency</t>
  </si>
  <si>
    <t>Heat Transfer Efficiency</t>
  </si>
  <si>
    <t>HHV Basis</t>
  </si>
  <si>
    <t>LHV Basis</t>
  </si>
  <si>
    <t>Emissions</t>
  </si>
  <si>
    <t>Particulate</t>
  </si>
  <si>
    <t>Default Fuel Values</t>
  </si>
  <si>
    <t>D. Fir</t>
  </si>
  <si>
    <t>Oak</t>
  </si>
  <si>
    <t>HHV (kJ/kg)</t>
  </si>
  <si>
    <t>MC wet (%)</t>
  </si>
  <si>
    <t>Technicians:</t>
  </si>
  <si>
    <t>Excess</t>
  </si>
  <si>
    <t>Air</t>
  </si>
  <si>
    <t>VERSION:</t>
  </si>
  <si>
    <t>SUMS</t>
  </si>
  <si>
    <t>Total CO (g):</t>
  </si>
  <si>
    <t>Flue Gas Composition (%)</t>
  </si>
  <si>
    <t>Ratio</t>
  </si>
  <si>
    <t>Wt</t>
  </si>
  <si>
    <t>x</t>
  </si>
  <si>
    <r>
      <t>Wt</t>
    </r>
    <r>
      <rPr>
        <b/>
        <vertAlign val="subscript"/>
        <sz val="12"/>
        <rFont val="Arial"/>
        <family val="2"/>
      </rPr>
      <t>dn</t>
    </r>
  </si>
  <si>
    <t>y</t>
  </si>
  <si>
    <t>100 mole dfp</t>
  </si>
  <si>
    <t>(moles/100 mole dry flue gas)</t>
  </si>
  <si>
    <t>Flue Gas Constituent</t>
  </si>
  <si>
    <t>INPUT DATA</t>
  </si>
  <si>
    <t xml:space="preserve">Chemical </t>
  </si>
  <si>
    <t xml:space="preserve">Chem </t>
  </si>
  <si>
    <t>Loss 1</t>
  </si>
  <si>
    <t>Latent Loss</t>
  </si>
  <si>
    <t>Loss 2</t>
  </si>
  <si>
    <t>Oxygen Calculation</t>
  </si>
  <si>
    <t xml:space="preserve">Temp </t>
  </si>
  <si>
    <t>Grams Produced</t>
  </si>
  <si>
    <t>AVERAGE</t>
  </si>
  <si>
    <r>
      <t>F</t>
    </r>
    <r>
      <rPr>
        <vertAlign val="subscript"/>
        <sz val="12"/>
        <rFont val="Arial"/>
        <family val="0"/>
      </rPr>
      <t>0</t>
    </r>
  </si>
  <si>
    <t>Wet Wt</t>
  </si>
  <si>
    <t>Now</t>
  </si>
  <si>
    <t>% Wet</t>
  </si>
  <si>
    <t>Consumed</t>
  </si>
  <si>
    <t>Dry Wt.</t>
  </si>
  <si>
    <t>% Dry</t>
  </si>
  <si>
    <t>Comsumed</t>
  </si>
  <si>
    <t xml:space="preserve">Moisture Content Dry </t>
  </si>
  <si>
    <r>
      <t>Moisture Content M</t>
    </r>
    <r>
      <rPr>
        <vertAlign val="subscript"/>
        <sz val="12"/>
        <rFont val="Arial"/>
        <family val="0"/>
      </rPr>
      <t>Cwb</t>
    </r>
    <r>
      <rPr>
        <sz val="12"/>
        <rFont val="Arial"/>
        <family val="0"/>
      </rPr>
      <t>:</t>
    </r>
  </si>
  <si>
    <t>HY:</t>
  </si>
  <si>
    <t>OX:</t>
  </si>
  <si>
    <r>
      <t>CO</t>
    </r>
    <r>
      <rPr>
        <vertAlign val="subscript"/>
        <sz val="12"/>
        <rFont val="Arial"/>
        <family val="0"/>
      </rPr>
      <t>2-ult</t>
    </r>
  </si>
  <si>
    <t>Air EA</t>
  </si>
  <si>
    <t>h</t>
  </si>
  <si>
    <t>Appliance Type:</t>
  </si>
  <si>
    <t>(Cat, Non-Cat, Pellet)</t>
  </si>
  <si>
    <t>Air Fuel Ratio (A/F)</t>
  </si>
  <si>
    <r>
      <t>Dry Molecular Weight (M</t>
    </r>
    <r>
      <rPr>
        <vertAlign val="subscript"/>
        <sz val="12"/>
        <rFont val="Helv"/>
        <family val="0"/>
      </rPr>
      <t>d</t>
    </r>
    <r>
      <rPr>
        <sz val="12"/>
        <rFont val="Helv"/>
        <family val="0"/>
      </rPr>
      <t>)</t>
    </r>
  </si>
  <si>
    <r>
      <t>Dry Moles Exhaust Gas (N</t>
    </r>
    <r>
      <rPr>
        <vertAlign val="subscript"/>
        <sz val="12"/>
        <rFont val="Helv"/>
        <family val="0"/>
      </rPr>
      <t>r</t>
    </r>
    <r>
      <rPr>
        <sz val="12"/>
        <rFont val="Helv"/>
        <family val="0"/>
      </rPr>
      <t>):</t>
    </r>
  </si>
  <si>
    <t>%HC</t>
  </si>
  <si>
    <r>
      <t>Ultimate CO</t>
    </r>
    <r>
      <rPr>
        <vertAlign val="subscript"/>
        <sz val="12"/>
        <rFont val="Arial"/>
        <family val="0"/>
      </rPr>
      <t>2</t>
    </r>
  </si>
  <si>
    <r>
      <t>N</t>
    </r>
    <r>
      <rPr>
        <b/>
        <vertAlign val="subscript"/>
        <sz val="12"/>
        <rFont val="Arial"/>
        <family val="2"/>
      </rPr>
      <t>2</t>
    </r>
  </si>
  <si>
    <r>
      <t>H</t>
    </r>
    <r>
      <rPr>
        <b/>
        <vertAlign val="subscript"/>
        <sz val="12"/>
        <rFont val="Arial"/>
        <family val="2"/>
      </rPr>
      <t>2</t>
    </r>
    <r>
      <rPr>
        <b/>
        <sz val="12"/>
        <rFont val="Arial"/>
        <family val="2"/>
      </rPr>
      <t>O</t>
    </r>
  </si>
  <si>
    <r>
      <t>CH</t>
    </r>
    <r>
      <rPr>
        <b/>
        <vertAlign val="subscript"/>
        <sz val="12"/>
        <rFont val="Arial"/>
        <family val="2"/>
      </rPr>
      <t>4</t>
    </r>
  </si>
  <si>
    <r>
      <t>H</t>
    </r>
    <r>
      <rPr>
        <b/>
        <vertAlign val="subscript"/>
        <sz val="12"/>
        <rFont val="Arial"/>
        <family val="2"/>
      </rPr>
      <t>2</t>
    </r>
    <r>
      <rPr>
        <b/>
        <sz val="12"/>
        <rFont val="Arial"/>
        <family val="2"/>
      </rPr>
      <t>O Comb</t>
    </r>
  </si>
  <si>
    <r>
      <t>H</t>
    </r>
    <r>
      <rPr>
        <b/>
        <vertAlign val="subscript"/>
        <sz val="12"/>
        <rFont val="Arial"/>
        <family val="2"/>
      </rPr>
      <t>2</t>
    </r>
    <r>
      <rPr>
        <b/>
        <sz val="12"/>
        <rFont val="Arial"/>
        <family val="2"/>
      </rPr>
      <t>O Fuel MC</t>
    </r>
  </si>
  <si>
    <t>Fuel Weight</t>
  </si>
  <si>
    <t>Temp. Units</t>
  </si>
  <si>
    <t>Weight Units</t>
  </si>
  <si>
    <t>(kg or lb)</t>
  </si>
  <si>
    <t>(F or C)</t>
  </si>
  <si>
    <t>Remaining (kg)</t>
  </si>
  <si>
    <r>
      <t>Gas (º</t>
    </r>
    <r>
      <rPr>
        <b/>
        <sz val="10.45"/>
        <color indexed="12"/>
        <rFont val="Arial"/>
        <family val="0"/>
      </rPr>
      <t>C)</t>
    </r>
  </si>
  <si>
    <r>
      <t>Temp (º</t>
    </r>
    <r>
      <rPr>
        <b/>
        <sz val="10.45"/>
        <color indexed="12"/>
        <rFont val="Arial"/>
        <family val="0"/>
      </rPr>
      <t>C)</t>
    </r>
  </si>
  <si>
    <t>g</t>
  </si>
  <si>
    <t>%Ash</t>
  </si>
  <si>
    <t>º</t>
  </si>
  <si>
    <t>Time (min)</t>
  </si>
  <si>
    <t>Output Rate (kJ/h)</t>
  </si>
  <si>
    <t>Burn Rate (kg/h)</t>
  </si>
  <si>
    <t>Input (kJ/h)</t>
  </si>
  <si>
    <t>(Btu/h)</t>
  </si>
  <si>
    <t>(lb/h)</t>
  </si>
  <si>
    <t>Test Load Weight (dry kg)</t>
  </si>
  <si>
    <t>dry lb</t>
  </si>
  <si>
    <t>MC dry (%)</t>
  </si>
  <si>
    <t>Particulate (g )</t>
  </si>
  <si>
    <t>CO (g)</t>
  </si>
  <si>
    <t>Test Duration (h)</t>
  </si>
  <si>
    <t>g/MJ Output</t>
  </si>
  <si>
    <t>Air/Fuel Ratio (A/F)</t>
  </si>
  <si>
    <t>lb/MM Btu Output</t>
  </si>
  <si>
    <t>kJ/h</t>
  </si>
  <si>
    <t>kg/h</t>
  </si>
  <si>
    <t>Btu/h</t>
  </si>
  <si>
    <t>lb/h</t>
  </si>
  <si>
    <t>Deg. F</t>
  </si>
  <si>
    <t>Deg. C</t>
  </si>
  <si>
    <t>Carbon</t>
  </si>
  <si>
    <t>Hydrogen</t>
  </si>
  <si>
    <t>Oxygen</t>
  </si>
  <si>
    <t>Calorific</t>
  </si>
  <si>
    <t>Value</t>
  </si>
  <si>
    <t>Fuel Burnt</t>
  </si>
  <si>
    <t>Total Input (kJ):</t>
  </si>
  <si>
    <t>Total Output (kJ):</t>
  </si>
  <si>
    <t>(Btu)</t>
  </si>
  <si>
    <t>Load Weight (kg):</t>
  </si>
  <si>
    <t>Moisture of Wood (wet basis):</t>
  </si>
  <si>
    <r>
      <t xml:space="preserve">      Initial Dry Weight Wt</t>
    </r>
    <r>
      <rPr>
        <vertAlign val="subscript"/>
        <sz val="12"/>
        <rFont val="Arial"/>
        <family val="0"/>
      </rPr>
      <t>do</t>
    </r>
    <r>
      <rPr>
        <sz val="12"/>
        <rFont val="Arial"/>
        <family val="0"/>
      </rPr>
      <t xml:space="preserve"> (kg): </t>
    </r>
  </si>
  <si>
    <t>Btu/lb</t>
  </si>
  <si>
    <t>kg Wood per</t>
  </si>
  <si>
    <t>Moles per kg of Dry Wood</t>
  </si>
  <si>
    <t>Dry kg :</t>
  </si>
  <si>
    <t>Loss</t>
  </si>
  <si>
    <t>Rate</t>
  </si>
  <si>
    <t>Sensible and</t>
  </si>
  <si>
    <t>[h]</t>
  </si>
  <si>
    <t>[u]</t>
  </si>
  <si>
    <t>[w]</t>
  </si>
  <si>
    <t>[j]</t>
  </si>
  <si>
    <t>[k]</t>
  </si>
  <si>
    <t>CO [e]</t>
  </si>
  <si>
    <r>
      <t>CO</t>
    </r>
    <r>
      <rPr>
        <b/>
        <vertAlign val="subscript"/>
        <sz val="12"/>
        <color indexed="12"/>
        <rFont val="Arial"/>
        <family val="2"/>
      </rPr>
      <t>2</t>
    </r>
    <r>
      <rPr>
        <b/>
        <sz val="12"/>
        <color indexed="12"/>
        <rFont val="Arial"/>
        <family val="2"/>
      </rPr>
      <t xml:space="preserve"> [d]</t>
    </r>
  </si>
  <si>
    <t>Test Results in Accordance with CSA B415.1-09</t>
  </si>
  <si>
    <t xml:space="preserve">   Wood Moisture (% wet):</t>
  </si>
  <si>
    <t xml:space="preserve">   Load Weight (lb wet):</t>
  </si>
  <si>
    <t xml:space="preserve">   Burn Rate (dry kg/h):</t>
  </si>
  <si>
    <t>Total Particulate Emissions:</t>
  </si>
  <si>
    <t>g/kg Dry Fuel</t>
  </si>
  <si>
    <t>g/h</t>
  </si>
  <si>
    <t>/16= [c]</t>
  </si>
  <si>
    <t>/1= [b]</t>
  </si>
  <si>
    <t>/12= [a]</t>
  </si>
  <si>
    <t>Energy Losses (kJ/kg of Dry Fuel)</t>
  </si>
  <si>
    <r>
      <t>O</t>
    </r>
    <r>
      <rPr>
        <b/>
        <vertAlign val="subscript"/>
        <sz val="12"/>
        <rFont val="Arial"/>
        <family val="2"/>
      </rPr>
      <t>2</t>
    </r>
    <r>
      <rPr>
        <b/>
        <sz val="12"/>
        <rFont val="Arial"/>
        <family val="2"/>
      </rPr>
      <t xml:space="preserve"> [g]</t>
    </r>
  </si>
  <si>
    <t>Calc. %</t>
  </si>
  <si>
    <t>Input Data</t>
  </si>
  <si>
    <t>Fuel Properties</t>
  </si>
  <si>
    <t>Mass Balance</t>
  </si>
  <si>
    <t>Heat Content Change - Ambient to Stack Temperature</t>
  </si>
  <si>
    <t>kJ/kg</t>
  </si>
  <si>
    <t>Value in kJ/kg - CV:</t>
  </si>
  <si>
    <t>F</t>
  </si>
  <si>
    <t>lb</t>
  </si>
  <si>
    <t>Non-Cat</t>
  </si>
  <si>
    <t>SteelTech</t>
  </si>
  <si>
    <t>G400</t>
  </si>
  <si>
    <t>G101237933</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</si>
</sst>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00_)"/>
    <numFmt numFmtId="181" formatCode="0.0000_)"/>
    <numFmt numFmtId="182" formatCode="0.000_)"/>
    <numFmt numFmtId="183" formatCode="0.0_)"/>
    <numFmt numFmtId="184" formatCode="0.00000_)"/>
    <numFmt numFmtId="185" formatCode="0_)"/>
    <numFmt numFmtId="186" formatCode="0.0%"/>
    <numFmt numFmtId="187" formatCode="0.0000"/>
    <numFmt numFmtId="188" formatCode="0.000"/>
    <numFmt numFmtId="189" formatCode="0.0"/>
    <numFmt numFmtId="190" formatCode="0.00000000000"/>
    <numFmt numFmtId="191" formatCode="0.0000000000"/>
    <numFmt numFmtId="192" formatCode="0.000000000"/>
    <numFmt numFmtId="193" formatCode="0.00000"/>
    <numFmt numFmtId="194" formatCode="[$-409]dddd\,\ mmmm\ dd\,\ yyyy"/>
    <numFmt numFmtId="195" formatCode="m/d/yy"/>
    <numFmt numFmtId="196" formatCode="_(* #,##0.0_);_(* \(#,##0.0\);_(* &quot;-&quot;??_);_(@_)"/>
    <numFmt numFmtId="197" formatCode="_(* #,##0_);_(* \(#,##0\);_(* &quot;-&quot;??_);_(@_)"/>
    <numFmt numFmtId="198" formatCode="mm/dd/yy_)"/>
    <numFmt numFmtId="199" formatCode="0.000000000000000%"/>
    <numFmt numFmtId="200" formatCode="0.000%"/>
    <numFmt numFmtId="201" formatCode="0.0000%"/>
    <numFmt numFmtId="202" formatCode="0.00000%"/>
    <numFmt numFmtId="203" formatCode="0.000000%"/>
    <numFmt numFmtId="204" formatCode="0.0000000%"/>
    <numFmt numFmtId="205" formatCode="0.00000000%"/>
    <numFmt numFmtId="206" formatCode="_(* #,##0.000_);_(* \(#,##0.000\);_(* &quot;-&quot;??_);_(@_)"/>
    <numFmt numFmtId="207" formatCode="0.0000000"/>
    <numFmt numFmtId="208" formatCode="0.000000"/>
    <numFmt numFmtId="209" formatCode="0.000000_)"/>
    <numFmt numFmtId="210" formatCode="0.0000000_)"/>
    <numFmt numFmtId="211" formatCode="0.000000000000000"/>
    <numFmt numFmtId="212" formatCode="0.0000000000000000"/>
    <numFmt numFmtId="213" formatCode="0.00000000000000"/>
    <numFmt numFmtId="214" formatCode="0.0000000000000"/>
    <numFmt numFmtId="215" formatCode="0.000000000000"/>
    <numFmt numFmtId="216" formatCode="0.00000000"/>
    <numFmt numFmtId="217" formatCode="#,##0.0"/>
    <numFmt numFmtId="218" formatCode="mm/dd/yy;@"/>
  </numFmts>
  <fonts count="58">
    <font>
      <sz val="12"/>
      <name val="Arial"/>
      <family val="0"/>
    </font>
    <font>
      <sz val="10"/>
      <name val="Arial"/>
      <family val="0"/>
    </font>
    <font>
      <sz val="12"/>
      <color indexed="12"/>
      <name val="Arial"/>
      <family val="0"/>
    </font>
    <font>
      <sz val="12"/>
      <color indexed="12"/>
      <name val="Helv"/>
      <family val="0"/>
    </font>
    <font>
      <sz val="8"/>
      <name val="Arial"/>
      <family val="0"/>
    </font>
    <font>
      <u val="single"/>
      <sz val="12"/>
      <color indexed="12"/>
      <name val="Arial"/>
      <family val="0"/>
    </font>
    <font>
      <u val="single"/>
      <sz val="12"/>
      <color indexed="36"/>
      <name val="Arial"/>
      <family val="0"/>
    </font>
    <font>
      <b/>
      <sz val="12"/>
      <color indexed="8"/>
      <name val="WP OverflowSet"/>
      <family val="0"/>
    </font>
    <font>
      <b/>
      <sz val="12"/>
      <color indexed="8"/>
      <name val="Arial"/>
      <family val="2"/>
    </font>
    <font>
      <b/>
      <sz val="12"/>
      <name val="Arial"/>
      <family val="2"/>
    </font>
    <font>
      <b/>
      <sz val="12"/>
      <color indexed="12"/>
      <name val="Arial"/>
      <family val="2"/>
    </font>
    <font>
      <b/>
      <sz val="12"/>
      <color indexed="12"/>
      <name val="Helv"/>
      <family val="0"/>
    </font>
    <font>
      <sz val="12"/>
      <color indexed="8"/>
      <name val="Arial"/>
      <family val="0"/>
    </font>
    <font>
      <b/>
      <vertAlign val="subscript"/>
      <sz val="12"/>
      <name val="Arial"/>
      <family val="2"/>
    </font>
    <font>
      <sz val="20"/>
      <name val="Arial"/>
      <family val="0"/>
    </font>
    <font>
      <b/>
      <sz val="9"/>
      <name val="Arial"/>
      <family val="2"/>
    </font>
    <font>
      <b/>
      <sz val="12"/>
      <color indexed="8"/>
      <name val="Helv"/>
      <family val="0"/>
    </font>
    <font>
      <sz val="12"/>
      <name val="Helv"/>
      <family val="0"/>
    </font>
    <font>
      <b/>
      <sz val="12"/>
      <name val="Helv"/>
      <family val="0"/>
    </font>
    <font>
      <vertAlign val="subscript"/>
      <sz val="12"/>
      <name val="Arial"/>
      <family val="0"/>
    </font>
    <font>
      <vertAlign val="subscript"/>
      <sz val="12"/>
      <name val="Helv"/>
      <family val="0"/>
    </font>
    <font>
      <b/>
      <vertAlign val="subscript"/>
      <sz val="12"/>
      <color indexed="12"/>
      <name val="Arial"/>
      <family val="2"/>
    </font>
    <font>
      <b/>
      <sz val="10.45"/>
      <color indexed="12"/>
      <name val="Arial"/>
      <family val="0"/>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bscript"/>
      <sz val="12"/>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style="mediu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37">
    <xf numFmtId="0" fontId="0" fillId="0" borderId="0" xfId="0" applyAlignment="1">
      <alignment/>
    </xf>
    <xf numFmtId="0" fontId="2" fillId="33" borderId="0" xfId="0" applyFont="1" applyFill="1" applyAlignment="1" applyProtection="1">
      <alignment/>
      <protection/>
    </xf>
    <xf numFmtId="0" fontId="2" fillId="33" borderId="0" xfId="0" applyFont="1" applyFill="1" applyAlignment="1" applyProtection="1">
      <alignment horizontal="right"/>
      <protection/>
    </xf>
    <xf numFmtId="0" fontId="2" fillId="33" borderId="0" xfId="0" applyFont="1" applyFill="1" applyAlignment="1" applyProtection="1">
      <alignment horizontal="center"/>
      <protection/>
    </xf>
    <xf numFmtId="10" fontId="0" fillId="0" borderId="0" xfId="0" applyNumberFormat="1" applyAlignment="1" applyProtection="1">
      <alignment/>
      <protection/>
    </xf>
    <xf numFmtId="0" fontId="0" fillId="0" borderId="0" xfId="0" applyAlignment="1" applyProtection="1">
      <alignment horizontal="left"/>
      <protection/>
    </xf>
    <xf numFmtId="0" fontId="0" fillId="0" borderId="0" xfId="0" applyAlignment="1" applyProtection="1">
      <alignment/>
      <protection/>
    </xf>
    <xf numFmtId="180" fontId="0" fillId="0" borderId="0" xfId="0" applyNumberFormat="1" applyAlignment="1" applyProtection="1">
      <alignment/>
      <protection/>
    </xf>
    <xf numFmtId="0" fontId="0" fillId="0" borderId="0" xfId="0" applyAlignment="1" applyProtection="1">
      <alignment horizontal="right"/>
      <protection/>
    </xf>
    <xf numFmtId="182" fontId="0" fillId="0" borderId="0" xfId="0" applyNumberFormat="1" applyAlignment="1" applyProtection="1">
      <alignment/>
      <protection/>
    </xf>
    <xf numFmtId="183" fontId="0" fillId="0" borderId="0" xfId="0" applyNumberFormat="1" applyAlignment="1" applyProtection="1">
      <alignment/>
      <protection/>
    </xf>
    <xf numFmtId="0" fontId="0" fillId="0" borderId="0" xfId="0" applyAlignment="1">
      <alignment horizontal="left"/>
    </xf>
    <xf numFmtId="0" fontId="9" fillId="0" borderId="0" xfId="0" applyFont="1" applyAlignment="1">
      <alignment horizontal="right"/>
    </xf>
    <xf numFmtId="0" fontId="9" fillId="0" borderId="0" xfId="0" applyFont="1" applyAlignment="1" applyProtection="1">
      <alignment horizontal="center"/>
      <protection/>
    </xf>
    <xf numFmtId="0" fontId="7" fillId="33" borderId="0" xfId="0" applyFont="1" applyFill="1" applyAlignment="1" applyProtection="1">
      <alignment horizontal="right"/>
      <protection/>
    </xf>
    <xf numFmtId="0" fontId="7" fillId="33" borderId="0" xfId="0" applyFont="1" applyFill="1" applyAlignment="1" applyProtection="1">
      <alignment horizontal="left"/>
      <protection/>
    </xf>
    <xf numFmtId="0" fontId="3" fillId="0" borderId="0" xfId="0" applyFont="1" applyAlignment="1" applyProtection="1">
      <alignment/>
      <protection/>
    </xf>
    <xf numFmtId="180" fontId="3" fillId="0" borderId="0" xfId="0" applyNumberFormat="1" applyFont="1" applyAlignment="1" applyProtection="1">
      <alignment/>
      <protection/>
    </xf>
    <xf numFmtId="182" fontId="3" fillId="0" borderId="0" xfId="0" applyNumberFormat="1" applyFont="1" applyAlignment="1" applyProtection="1">
      <alignment/>
      <protection/>
    </xf>
    <xf numFmtId="10" fontId="10" fillId="34" borderId="10" xfId="59" applyNumberFormat="1" applyFont="1" applyFill="1" applyBorder="1" applyAlignment="1" applyProtection="1">
      <alignment horizontal="center"/>
      <protection/>
    </xf>
    <xf numFmtId="10" fontId="10" fillId="34" borderId="11" xfId="59" applyNumberFormat="1" applyFont="1" applyFill="1" applyBorder="1" applyAlignment="1" applyProtection="1">
      <alignment horizontal="center"/>
      <protection/>
    </xf>
    <xf numFmtId="0" fontId="10" fillId="34" borderId="12" xfId="0" applyFont="1" applyFill="1" applyBorder="1" applyAlignment="1" applyProtection="1">
      <alignment horizontal="center"/>
      <protection/>
    </xf>
    <xf numFmtId="0" fontId="10" fillId="34" borderId="13" xfId="0" applyFont="1" applyFill="1" applyBorder="1" applyAlignment="1" applyProtection="1">
      <alignment horizontal="center"/>
      <protection/>
    </xf>
    <xf numFmtId="10" fontId="10" fillId="34" borderId="14" xfId="0" applyNumberFormat="1" applyFont="1" applyFill="1" applyBorder="1" applyAlignment="1" applyProtection="1">
      <alignment horizontal="center"/>
      <protection/>
    </xf>
    <xf numFmtId="10" fontId="10" fillId="34" borderId="15" xfId="59" applyNumberFormat="1" applyFont="1" applyFill="1" applyBorder="1" applyAlignment="1" applyProtection="1">
      <alignment horizontal="center"/>
      <protection/>
    </xf>
    <xf numFmtId="10" fontId="10" fillId="34" borderId="15" xfId="0" applyNumberFormat="1" applyFont="1" applyFill="1" applyBorder="1" applyAlignment="1" applyProtection="1">
      <alignment horizontal="center"/>
      <protection/>
    </xf>
    <xf numFmtId="188" fontId="3" fillId="0" borderId="0" xfId="0" applyNumberFormat="1" applyFont="1" applyAlignment="1" applyProtection="1">
      <alignment/>
      <protection/>
    </xf>
    <xf numFmtId="3" fontId="10" fillId="34" borderId="14" xfId="42" applyNumberFormat="1" applyFont="1" applyFill="1" applyBorder="1" applyAlignment="1" applyProtection="1">
      <alignment horizontal="center"/>
      <protection/>
    </xf>
    <xf numFmtId="180" fontId="10" fillId="34" borderId="14" xfId="0" applyNumberFormat="1" applyFont="1" applyFill="1" applyBorder="1" applyAlignment="1" applyProtection="1">
      <alignment horizontal="center"/>
      <protection/>
    </xf>
    <xf numFmtId="0" fontId="10" fillId="34" borderId="15" xfId="0" applyFont="1" applyFill="1" applyBorder="1" applyAlignment="1" applyProtection="1">
      <alignment horizontal="center"/>
      <protection/>
    </xf>
    <xf numFmtId="192" fontId="3" fillId="0" borderId="0" xfId="0" applyNumberFormat="1" applyFont="1" applyAlignment="1" applyProtection="1">
      <alignment/>
      <protection/>
    </xf>
    <xf numFmtId="181" fontId="3" fillId="0" borderId="0" xfId="0" applyNumberFormat="1" applyFont="1" applyAlignment="1" applyProtection="1">
      <alignment/>
      <protection/>
    </xf>
    <xf numFmtId="190" fontId="3" fillId="0" borderId="0" xfId="0" applyNumberFormat="1" applyFont="1" applyAlignment="1" applyProtection="1">
      <alignment/>
      <protection/>
    </xf>
    <xf numFmtId="184" fontId="3" fillId="0" borderId="0" xfId="0" applyNumberFormat="1" applyFont="1" applyAlignment="1" applyProtection="1">
      <alignment/>
      <protection/>
    </xf>
    <xf numFmtId="2" fontId="12" fillId="33" borderId="0" xfId="0" applyNumberFormat="1" applyFont="1" applyFill="1" applyAlignment="1" applyProtection="1">
      <alignment horizontal="center"/>
      <protection/>
    </xf>
    <xf numFmtId="0" fontId="11" fillId="0" borderId="0" xfId="0" applyFont="1" applyAlignment="1" applyProtection="1">
      <alignment horizontal="center"/>
      <protection/>
    </xf>
    <xf numFmtId="2" fontId="0" fillId="31" borderId="0" xfId="0" applyNumberFormat="1" applyFill="1" applyAlignment="1" applyProtection="1">
      <alignment/>
      <protection locked="0"/>
    </xf>
    <xf numFmtId="0" fontId="0" fillId="31" borderId="0" xfId="0" applyFill="1" applyAlignment="1" applyProtection="1">
      <alignment/>
      <protection locked="0"/>
    </xf>
    <xf numFmtId="0" fontId="9" fillId="0" borderId="0" xfId="0" applyFont="1" applyAlignment="1">
      <alignment horizontal="center"/>
    </xf>
    <xf numFmtId="2" fontId="9" fillId="0" borderId="0" xfId="0" applyNumberFormat="1" applyFont="1" applyAlignment="1">
      <alignment horizontal="center"/>
    </xf>
    <xf numFmtId="0" fontId="0" fillId="31" borderId="0" xfId="0" applyFill="1" applyAlignment="1" applyProtection="1">
      <alignment horizontal="left"/>
      <protection locked="0"/>
    </xf>
    <xf numFmtId="0" fontId="8" fillId="33" borderId="0" xfId="0" applyFont="1" applyFill="1" applyAlignment="1" applyProtection="1">
      <alignment/>
      <protection/>
    </xf>
    <xf numFmtId="14" fontId="0" fillId="31" borderId="0" xfId="0" applyNumberFormat="1" applyFill="1" applyAlignment="1" applyProtection="1">
      <alignment horizontal="left"/>
      <protection locked="0"/>
    </xf>
    <xf numFmtId="0" fontId="0" fillId="35" borderId="0" xfId="0" applyFill="1" applyAlignment="1" applyProtection="1">
      <alignment/>
      <protection locked="0"/>
    </xf>
    <xf numFmtId="9" fontId="2" fillId="33" borderId="0" xfId="59" applyFont="1" applyFill="1" applyAlignment="1" applyProtection="1">
      <alignment/>
      <protection/>
    </xf>
    <xf numFmtId="2" fontId="0" fillId="0" borderId="0" xfId="0" applyNumberFormat="1" applyAlignment="1">
      <alignment/>
    </xf>
    <xf numFmtId="0" fontId="9" fillId="0" borderId="0" xfId="0" applyFont="1" applyAlignment="1">
      <alignment/>
    </xf>
    <xf numFmtId="0" fontId="0" fillId="0" borderId="0" xfId="0" applyAlignment="1">
      <alignment horizontal="center"/>
    </xf>
    <xf numFmtId="0" fontId="0" fillId="0" borderId="0" xfId="0" applyAlignment="1" applyProtection="1">
      <alignment/>
      <protection locked="0"/>
    </xf>
    <xf numFmtId="3" fontId="0" fillId="0" borderId="0" xfId="0" applyNumberFormat="1" applyAlignment="1">
      <alignment horizontal="center"/>
    </xf>
    <xf numFmtId="186" fontId="0" fillId="0" borderId="11" xfId="0" applyNumberFormat="1" applyFill="1" applyBorder="1" applyAlignment="1">
      <alignment horizontal="center"/>
    </xf>
    <xf numFmtId="0" fontId="0" fillId="0" borderId="0" xfId="0" applyFill="1" applyAlignment="1">
      <alignment/>
    </xf>
    <xf numFmtId="186" fontId="0" fillId="0" borderId="15" xfId="0" applyNumberFormat="1" applyFill="1" applyBorder="1" applyAlignment="1">
      <alignment horizontal="center"/>
    </xf>
    <xf numFmtId="0" fontId="8" fillId="0" borderId="13" xfId="0" applyFont="1" applyFill="1" applyBorder="1" applyAlignment="1" applyProtection="1">
      <alignment horizontal="right"/>
      <protection/>
    </xf>
    <xf numFmtId="2" fontId="0" fillId="0" borderId="14" xfId="0" applyNumberFormat="1" applyFill="1" applyBorder="1" applyAlignment="1">
      <alignment horizontal="center"/>
    </xf>
    <xf numFmtId="0" fontId="8" fillId="0" borderId="16" xfId="0" applyFont="1" applyFill="1" applyBorder="1" applyAlignment="1" applyProtection="1">
      <alignment horizontal="right"/>
      <protection/>
    </xf>
    <xf numFmtId="0" fontId="0" fillId="0" borderId="0" xfId="0" applyFill="1" applyBorder="1" applyAlignment="1">
      <alignment horizontal="center"/>
    </xf>
    <xf numFmtId="2" fontId="0" fillId="0" borderId="15" xfId="0" applyNumberFormat="1" applyFill="1" applyBorder="1" applyAlignment="1">
      <alignment horizontal="center"/>
    </xf>
    <xf numFmtId="0" fontId="0" fillId="0" borderId="15" xfId="0" applyFill="1" applyBorder="1" applyAlignment="1">
      <alignment horizontal="center"/>
    </xf>
    <xf numFmtId="3" fontId="0" fillId="0" borderId="15" xfId="0" applyNumberFormat="1" applyFill="1" applyBorder="1" applyAlignment="1">
      <alignment horizontal="center"/>
    </xf>
    <xf numFmtId="0" fontId="8" fillId="0" borderId="12" xfId="0" applyFont="1" applyFill="1" applyBorder="1" applyAlignment="1" applyProtection="1">
      <alignment horizontal="right"/>
      <protection/>
    </xf>
    <xf numFmtId="0" fontId="9" fillId="0" borderId="10" xfId="0" applyFont="1" applyFill="1" applyBorder="1" applyAlignment="1">
      <alignment horizontal="center"/>
    </xf>
    <xf numFmtId="0" fontId="9" fillId="0" borderId="11" xfId="0" applyFont="1" applyFill="1" applyBorder="1" applyAlignment="1">
      <alignment horizontal="center"/>
    </xf>
    <xf numFmtId="2" fontId="0" fillId="0" borderId="17" xfId="0" applyNumberFormat="1" applyFill="1" applyBorder="1" applyAlignment="1">
      <alignment horizontal="center"/>
    </xf>
    <xf numFmtId="14" fontId="15" fillId="0" borderId="0" xfId="0" applyNumberFormat="1" applyFont="1" applyAlignment="1">
      <alignment horizontal="left"/>
    </xf>
    <xf numFmtId="0" fontId="15" fillId="0" borderId="0" xfId="0" applyFont="1" applyAlignment="1">
      <alignment horizontal="right"/>
    </xf>
    <xf numFmtId="14" fontId="15" fillId="0" borderId="0" xfId="0" applyNumberFormat="1" applyFont="1" applyAlignment="1">
      <alignment horizontal="center"/>
    </xf>
    <xf numFmtId="10" fontId="3" fillId="0" borderId="0" xfId="59" applyNumberFormat="1" applyFont="1" applyAlignment="1" applyProtection="1">
      <alignment/>
      <protection/>
    </xf>
    <xf numFmtId="3" fontId="0" fillId="0" borderId="0" xfId="0" applyNumberFormat="1" applyAlignment="1" applyProtection="1">
      <alignment/>
      <protection/>
    </xf>
    <xf numFmtId="2" fontId="0" fillId="0" borderId="18" xfId="0" applyNumberFormat="1" applyFill="1" applyBorder="1" applyAlignment="1">
      <alignment horizontal="center"/>
    </xf>
    <xf numFmtId="0" fontId="0" fillId="0" borderId="0" xfId="0" applyFill="1" applyAlignment="1" applyProtection="1">
      <alignment/>
      <protection/>
    </xf>
    <xf numFmtId="2" fontId="0" fillId="0" borderId="0" xfId="0" applyNumberFormat="1" applyFill="1" applyAlignment="1" applyProtection="1">
      <alignment/>
      <protection/>
    </xf>
    <xf numFmtId="188" fontId="0" fillId="0" borderId="0" xfId="0" applyNumberFormat="1" applyAlignment="1">
      <alignment/>
    </xf>
    <xf numFmtId="0" fontId="8" fillId="33" borderId="0" xfId="0" applyFont="1" applyFill="1" applyAlignment="1" applyProtection="1">
      <alignment horizontal="center"/>
      <protection/>
    </xf>
    <xf numFmtId="0" fontId="0" fillId="0" borderId="0" xfId="0" applyAlignment="1" applyProtection="1">
      <alignment horizontal="center"/>
      <protection/>
    </xf>
    <xf numFmtId="180" fontId="0" fillId="0" borderId="0" xfId="0" applyNumberFormat="1" applyAlignment="1" applyProtection="1">
      <alignment horizontal="center"/>
      <protection/>
    </xf>
    <xf numFmtId="182" fontId="0" fillId="0" borderId="0" xfId="0" applyNumberFormat="1" applyAlignment="1" applyProtection="1">
      <alignment horizontal="right"/>
      <protection/>
    </xf>
    <xf numFmtId="0" fontId="18" fillId="0" borderId="0" xfId="0" applyFont="1" applyAlignment="1" applyProtection="1">
      <alignment horizontal="center"/>
      <protection/>
    </xf>
    <xf numFmtId="0" fontId="10" fillId="33" borderId="19" xfId="0" applyFont="1" applyFill="1" applyBorder="1" applyAlignment="1" applyProtection="1">
      <alignment horizontal="center"/>
      <protection/>
    </xf>
    <xf numFmtId="0" fontId="10" fillId="33" borderId="20" xfId="0" applyFont="1" applyFill="1" applyBorder="1" applyAlignment="1" applyProtection="1">
      <alignment horizontal="center"/>
      <protection/>
    </xf>
    <xf numFmtId="0" fontId="9" fillId="0" borderId="21" xfId="0" applyFont="1" applyBorder="1" applyAlignment="1" applyProtection="1">
      <alignment horizontal="center"/>
      <protection/>
    </xf>
    <xf numFmtId="184" fontId="11" fillId="0" borderId="0" xfId="0" applyNumberFormat="1" applyFont="1" applyAlignment="1" applyProtection="1">
      <alignment horizontal="center"/>
      <protection/>
    </xf>
    <xf numFmtId="0" fontId="9" fillId="0" borderId="19" xfId="0" applyFont="1" applyBorder="1" applyAlignment="1">
      <alignment horizontal="center"/>
    </xf>
    <xf numFmtId="0" fontId="8" fillId="0" borderId="22" xfId="0" applyFont="1" applyFill="1" applyBorder="1" applyAlignment="1">
      <alignment horizontal="right"/>
    </xf>
    <xf numFmtId="0" fontId="8" fillId="0" borderId="23" xfId="0" applyFont="1" applyFill="1" applyBorder="1" applyAlignment="1">
      <alignment horizontal="right"/>
    </xf>
    <xf numFmtId="0" fontId="8" fillId="0" borderId="23" xfId="0" applyFont="1" applyFill="1" applyBorder="1" applyAlignment="1" applyProtection="1">
      <alignment horizontal="right"/>
      <protection/>
    </xf>
    <xf numFmtId="0" fontId="8" fillId="0" borderId="24" xfId="0" applyFont="1" applyFill="1" applyBorder="1" applyAlignment="1" applyProtection="1">
      <alignment horizontal="right"/>
      <protection/>
    </xf>
    <xf numFmtId="3" fontId="9" fillId="0" borderId="25" xfId="0" applyNumberFormat="1" applyFont="1" applyFill="1" applyBorder="1" applyAlignment="1">
      <alignment horizontal="center"/>
    </xf>
    <xf numFmtId="3" fontId="9" fillId="0" borderId="26" xfId="0" applyNumberFormat="1" applyFont="1" applyFill="1" applyBorder="1" applyAlignment="1">
      <alignment horizontal="center"/>
    </xf>
    <xf numFmtId="3" fontId="9" fillId="0" borderId="27" xfId="0" applyNumberFormat="1" applyFont="1" applyFill="1" applyBorder="1" applyAlignment="1">
      <alignment horizontal="center"/>
    </xf>
    <xf numFmtId="186" fontId="0" fillId="0" borderId="12" xfId="0" applyNumberFormat="1" applyFill="1" applyBorder="1" applyAlignment="1">
      <alignment horizontal="center"/>
    </xf>
    <xf numFmtId="186" fontId="0" fillId="0" borderId="13" xfId="0" applyNumberFormat="1" applyFill="1" applyBorder="1" applyAlignment="1">
      <alignment horizontal="center"/>
    </xf>
    <xf numFmtId="4" fontId="0" fillId="0" borderId="13" xfId="59" applyNumberFormat="1" applyFont="1" applyFill="1" applyBorder="1" applyAlignment="1">
      <alignment horizontal="center"/>
    </xf>
    <xf numFmtId="3" fontId="0" fillId="0" borderId="16" xfId="59" applyNumberFormat="1" applyFont="1" applyFill="1" applyBorder="1" applyAlignment="1">
      <alignment horizontal="center"/>
    </xf>
    <xf numFmtId="3" fontId="0" fillId="0" borderId="18" xfId="0" applyNumberFormat="1" applyFill="1" applyBorder="1" applyAlignment="1">
      <alignment horizontal="center"/>
    </xf>
    <xf numFmtId="0" fontId="9" fillId="0" borderId="19"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29"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31" xfId="0" applyFont="1" applyBorder="1" applyAlignment="1" applyProtection="1">
      <alignment horizontal="center"/>
      <protection/>
    </xf>
    <xf numFmtId="2" fontId="0" fillId="0" borderId="0" xfId="0" applyNumberFormat="1" applyAlignment="1" applyProtection="1">
      <alignment horizontal="center"/>
      <protection/>
    </xf>
    <xf numFmtId="0" fontId="9" fillId="0" borderId="0" xfId="0" applyFont="1" applyAlignment="1">
      <alignment horizontal="center"/>
    </xf>
    <xf numFmtId="0" fontId="2" fillId="33" borderId="12" xfId="0" applyFont="1" applyFill="1" applyBorder="1" applyAlignment="1" applyProtection="1">
      <alignment horizontal="center"/>
      <protection/>
    </xf>
    <xf numFmtId="2" fontId="2" fillId="33" borderId="10" xfId="0" applyNumberFormat="1" applyFont="1" applyFill="1" applyBorder="1" applyAlignment="1" applyProtection="1">
      <alignment horizontal="center"/>
      <protection/>
    </xf>
    <xf numFmtId="2" fontId="2" fillId="33" borderId="32" xfId="0" applyNumberFormat="1" applyFont="1" applyFill="1" applyBorder="1" applyAlignment="1" applyProtection="1">
      <alignment horizontal="center"/>
      <protection/>
    </xf>
    <xf numFmtId="189" fontId="2" fillId="33" borderId="33" xfId="0" applyNumberFormat="1" applyFont="1" applyFill="1" applyBorder="1" applyAlignment="1" applyProtection="1">
      <alignment horizontal="center"/>
      <protection/>
    </xf>
    <xf numFmtId="0" fontId="2" fillId="33" borderId="13" xfId="0" applyFont="1" applyFill="1" applyBorder="1" applyAlignment="1" applyProtection="1">
      <alignment horizontal="center"/>
      <protection/>
    </xf>
    <xf numFmtId="2" fontId="2" fillId="33" borderId="14" xfId="0" applyNumberFormat="1" applyFont="1" applyFill="1" applyBorder="1" applyAlignment="1" applyProtection="1">
      <alignment horizontal="center"/>
      <protection/>
    </xf>
    <xf numFmtId="2" fontId="2" fillId="33" borderId="34" xfId="0" applyNumberFormat="1" applyFont="1" applyFill="1" applyBorder="1" applyAlignment="1" applyProtection="1">
      <alignment horizontal="center"/>
      <protection/>
    </xf>
    <xf numFmtId="189" fontId="2" fillId="33" borderId="35" xfId="0" applyNumberFormat="1" applyFont="1" applyFill="1" applyBorder="1" applyAlignment="1" applyProtection="1">
      <alignment horizontal="center"/>
      <protection/>
    </xf>
    <xf numFmtId="0" fontId="18" fillId="0" borderId="19" xfId="0" applyFont="1" applyBorder="1" applyAlignment="1" applyProtection="1">
      <alignment horizontal="center"/>
      <protection/>
    </xf>
    <xf numFmtId="0" fontId="10" fillId="34" borderId="36" xfId="0" applyFont="1" applyFill="1" applyBorder="1" applyAlignment="1" applyProtection="1">
      <alignment horizontal="center"/>
      <protection/>
    </xf>
    <xf numFmtId="180" fontId="10" fillId="34" borderId="37" xfId="0" applyNumberFormat="1" applyFont="1" applyFill="1" applyBorder="1" applyAlignment="1" applyProtection="1">
      <alignment horizontal="center"/>
      <protection/>
    </xf>
    <xf numFmtId="0" fontId="8" fillId="33" borderId="38" xfId="0" applyFont="1" applyFill="1" applyBorder="1" applyAlignment="1" applyProtection="1">
      <alignment horizontal="center"/>
      <protection/>
    </xf>
    <xf numFmtId="2" fontId="8" fillId="33" borderId="39" xfId="0" applyNumberFormat="1" applyFont="1" applyFill="1" applyBorder="1" applyAlignment="1" applyProtection="1">
      <alignment horizontal="center"/>
      <protection/>
    </xf>
    <xf numFmtId="186" fontId="8" fillId="33" borderId="39" xfId="59" applyNumberFormat="1" applyFont="1" applyFill="1" applyBorder="1" applyAlignment="1" applyProtection="1">
      <alignment horizontal="center"/>
      <protection/>
    </xf>
    <xf numFmtId="1" fontId="8" fillId="33" borderId="39" xfId="0" applyNumberFormat="1" applyFont="1" applyFill="1" applyBorder="1" applyAlignment="1" applyProtection="1">
      <alignment horizontal="center"/>
      <protection/>
    </xf>
    <xf numFmtId="183" fontId="8" fillId="33" borderId="39" xfId="0" applyNumberFormat="1" applyFont="1" applyFill="1" applyBorder="1" applyAlignment="1" applyProtection="1">
      <alignment horizontal="center"/>
      <protection/>
    </xf>
    <xf numFmtId="183" fontId="16" fillId="0" borderId="39" xfId="0" applyNumberFormat="1" applyFont="1" applyBorder="1" applyAlignment="1" applyProtection="1">
      <alignment horizontal="center"/>
      <protection/>
    </xf>
    <xf numFmtId="183" fontId="16" fillId="0" borderId="40" xfId="0" applyNumberFormat="1" applyFont="1" applyBorder="1" applyAlignment="1" applyProtection="1">
      <alignment horizontal="center"/>
      <protection/>
    </xf>
    <xf numFmtId="189" fontId="2" fillId="33" borderId="32" xfId="0" applyNumberFormat="1" applyFont="1" applyFill="1" applyBorder="1" applyAlignment="1" applyProtection="1">
      <alignment horizontal="center"/>
      <protection/>
    </xf>
    <xf numFmtId="189" fontId="2" fillId="33" borderId="34" xfId="0" applyNumberFormat="1" applyFont="1" applyFill="1" applyBorder="1" applyAlignment="1" applyProtection="1">
      <alignment horizontal="center"/>
      <protection/>
    </xf>
    <xf numFmtId="0" fontId="9" fillId="0" borderId="41" xfId="0" applyFont="1" applyBorder="1" applyAlignment="1" applyProtection="1">
      <alignment horizontal="center"/>
      <protection/>
    </xf>
    <xf numFmtId="0" fontId="9" fillId="0" borderId="42" xfId="0" applyFont="1" applyBorder="1" applyAlignment="1" applyProtection="1">
      <alignment horizontal="center"/>
      <protection/>
    </xf>
    <xf numFmtId="0" fontId="9" fillId="0" borderId="43" xfId="0" applyFont="1" applyBorder="1" applyAlignment="1" applyProtection="1">
      <alignment horizontal="center"/>
      <protection/>
    </xf>
    <xf numFmtId="0" fontId="9" fillId="0" borderId="44" xfId="0" applyFont="1" applyBorder="1" applyAlignment="1" applyProtection="1">
      <alignment horizontal="center"/>
      <protection/>
    </xf>
    <xf numFmtId="186" fontId="0" fillId="0" borderId="14" xfId="0" applyNumberFormat="1" applyBorder="1" applyAlignment="1" applyProtection="1">
      <alignment horizontal="center"/>
      <protection/>
    </xf>
    <xf numFmtId="185" fontId="0" fillId="0" borderId="14" xfId="0" applyNumberFormat="1" applyBorder="1" applyAlignment="1" applyProtection="1">
      <alignment horizontal="center"/>
      <protection/>
    </xf>
    <xf numFmtId="180" fontId="0" fillId="0" borderId="14" xfId="0" applyNumberFormat="1" applyBorder="1" applyAlignment="1" applyProtection="1">
      <alignment horizontal="center"/>
      <protection/>
    </xf>
    <xf numFmtId="186" fontId="0" fillId="0" borderId="12" xfId="0" applyNumberFormat="1" applyBorder="1" applyAlignment="1" applyProtection="1">
      <alignment horizontal="center"/>
      <protection/>
    </xf>
    <xf numFmtId="186" fontId="0" fillId="0" borderId="10" xfId="0" applyNumberFormat="1" applyBorder="1" applyAlignment="1" applyProtection="1">
      <alignment horizontal="center"/>
      <protection/>
    </xf>
    <xf numFmtId="185" fontId="0" fillId="0" borderId="10" xfId="0" applyNumberFormat="1" applyBorder="1" applyAlignment="1" applyProtection="1">
      <alignment horizontal="center"/>
      <protection/>
    </xf>
    <xf numFmtId="180" fontId="0" fillId="0" borderId="10" xfId="0" applyNumberFormat="1" applyBorder="1" applyAlignment="1" applyProtection="1">
      <alignment horizontal="center"/>
      <protection/>
    </xf>
    <xf numFmtId="180" fontId="0" fillId="0" borderId="11" xfId="0" applyNumberFormat="1" applyBorder="1" applyAlignment="1" applyProtection="1">
      <alignment horizontal="center"/>
      <protection/>
    </xf>
    <xf numFmtId="186" fontId="0" fillId="0" borderId="13" xfId="0" applyNumberFormat="1" applyBorder="1" applyAlignment="1" applyProtection="1">
      <alignment horizontal="center"/>
      <protection/>
    </xf>
    <xf numFmtId="180" fontId="0" fillId="0" borderId="15" xfId="0" applyNumberFormat="1" applyBorder="1" applyAlignment="1" applyProtection="1">
      <alignment horizontal="center"/>
      <protection/>
    </xf>
    <xf numFmtId="0" fontId="9" fillId="33" borderId="19" xfId="0" applyFont="1" applyFill="1" applyBorder="1" applyAlignment="1" applyProtection="1">
      <alignment horizontal="center"/>
      <protection/>
    </xf>
    <xf numFmtId="0" fontId="9" fillId="33" borderId="20" xfId="0" applyFont="1" applyFill="1" applyBorder="1" applyAlignment="1" applyProtection="1">
      <alignment horizontal="center"/>
      <protection/>
    </xf>
    <xf numFmtId="186" fontId="0" fillId="33" borderId="12" xfId="0" applyNumberFormat="1" applyFont="1" applyFill="1" applyBorder="1" applyAlignment="1" applyProtection="1">
      <alignment horizontal="center"/>
      <protection/>
    </xf>
    <xf numFmtId="2" fontId="0" fillId="33" borderId="10" xfId="0" applyNumberFormat="1" applyFont="1" applyFill="1" applyBorder="1" applyAlignment="1" applyProtection="1">
      <alignment horizontal="center"/>
      <protection/>
    </xf>
    <xf numFmtId="2" fontId="0" fillId="33" borderId="11" xfId="0" applyNumberFormat="1" applyFont="1" applyFill="1" applyBorder="1" applyAlignment="1" applyProtection="1">
      <alignment horizontal="center"/>
      <protection/>
    </xf>
    <xf numFmtId="186" fontId="0" fillId="33" borderId="13" xfId="0" applyNumberFormat="1" applyFont="1" applyFill="1" applyBorder="1" applyAlignment="1" applyProtection="1">
      <alignment horizontal="center"/>
      <protection/>
    </xf>
    <xf numFmtId="2" fontId="0" fillId="33" borderId="14" xfId="0" applyNumberFormat="1" applyFont="1" applyFill="1" applyBorder="1" applyAlignment="1" applyProtection="1">
      <alignment horizontal="center"/>
      <protection/>
    </xf>
    <xf numFmtId="2" fontId="0" fillId="33" borderId="15" xfId="0" applyNumberFormat="1" applyFont="1" applyFill="1" applyBorder="1" applyAlignment="1" applyProtection="1">
      <alignment horizontal="center"/>
      <protection/>
    </xf>
    <xf numFmtId="0" fontId="0" fillId="33" borderId="0" xfId="0" applyFont="1" applyFill="1" applyAlignment="1" applyProtection="1">
      <alignment horizontal="center"/>
      <protection/>
    </xf>
    <xf numFmtId="2" fontId="0" fillId="33" borderId="0" xfId="0" applyNumberFormat="1" applyFont="1" applyFill="1" applyAlignment="1" applyProtection="1">
      <alignment horizontal="center"/>
      <protection/>
    </xf>
    <xf numFmtId="0" fontId="0" fillId="0" borderId="0" xfId="0" applyFont="1" applyAlignment="1">
      <alignment horizontal="center"/>
    </xf>
    <xf numFmtId="188" fontId="0" fillId="33" borderId="0" xfId="0" applyNumberFormat="1" applyFont="1" applyFill="1" applyAlignment="1" applyProtection="1">
      <alignment horizontal="center"/>
      <protection/>
    </xf>
    <xf numFmtId="189" fontId="9" fillId="0" borderId="0" xfId="0" applyNumberFormat="1" applyFont="1" applyAlignment="1" applyProtection="1">
      <alignment horizontal="center"/>
      <protection/>
    </xf>
    <xf numFmtId="3" fontId="9" fillId="0" borderId="0" xfId="0" applyNumberFormat="1" applyFont="1" applyAlignment="1" applyProtection="1">
      <alignment horizontal="center"/>
      <protection/>
    </xf>
    <xf numFmtId="180" fontId="9" fillId="0" borderId="0" xfId="0" applyNumberFormat="1" applyFont="1" applyAlignment="1" applyProtection="1">
      <alignment horizontal="center"/>
      <protection/>
    </xf>
    <xf numFmtId="189" fontId="15" fillId="0" borderId="0" xfId="0" applyNumberFormat="1" applyFont="1" applyAlignment="1">
      <alignment horizontal="left"/>
    </xf>
    <xf numFmtId="183" fontId="0" fillId="0" borderId="10" xfId="0" applyNumberFormat="1" applyBorder="1" applyAlignment="1" applyProtection="1">
      <alignment horizontal="center"/>
      <protection/>
    </xf>
    <xf numFmtId="183" fontId="0" fillId="0" borderId="14" xfId="0" applyNumberFormat="1" applyBorder="1" applyAlignment="1" applyProtection="1">
      <alignment horizontal="center"/>
      <protection/>
    </xf>
    <xf numFmtId="189" fontId="15" fillId="0" borderId="0" xfId="0" applyNumberFormat="1" applyFont="1" applyAlignment="1">
      <alignment horizontal="center"/>
    </xf>
    <xf numFmtId="0" fontId="0" fillId="0" borderId="0" xfId="0" applyAlignment="1">
      <alignment horizontal="right"/>
    </xf>
    <xf numFmtId="0" fontId="9" fillId="0" borderId="19" xfId="0" applyFont="1" applyBorder="1" applyAlignment="1" applyProtection="1">
      <alignment horizontal="center"/>
      <protection/>
    </xf>
    <xf numFmtId="0" fontId="9" fillId="0" borderId="20" xfId="0" applyFont="1" applyBorder="1" applyAlignment="1" applyProtection="1">
      <alignment horizontal="center"/>
      <protection/>
    </xf>
    <xf numFmtId="0" fontId="8" fillId="0" borderId="0" xfId="0" applyFont="1" applyFill="1" applyBorder="1" applyAlignment="1" applyProtection="1">
      <alignment horizontal="right"/>
      <protection/>
    </xf>
    <xf numFmtId="0" fontId="8" fillId="0" borderId="38" xfId="0" applyFont="1" applyFill="1" applyBorder="1" applyAlignment="1" applyProtection="1">
      <alignment horizontal="right"/>
      <protection/>
    </xf>
    <xf numFmtId="2" fontId="0" fillId="0" borderId="40" xfId="0" applyNumberFormat="1" applyBorder="1" applyAlignment="1">
      <alignment/>
    </xf>
    <xf numFmtId="3" fontId="0" fillId="0" borderId="12" xfId="59" applyNumberFormat="1" applyFont="1" applyFill="1" applyBorder="1" applyAlignment="1">
      <alignment horizontal="center"/>
    </xf>
    <xf numFmtId="3" fontId="0" fillId="0" borderId="11" xfId="0" applyNumberFormat="1" applyFill="1" applyBorder="1" applyAlignment="1">
      <alignment horizontal="center"/>
    </xf>
    <xf numFmtId="0" fontId="8" fillId="0" borderId="24" xfId="0" applyFont="1" applyFill="1" applyBorder="1" applyAlignment="1">
      <alignment horizontal="right"/>
    </xf>
    <xf numFmtId="9" fontId="0" fillId="0" borderId="16" xfId="59" applyFont="1" applyFill="1" applyBorder="1" applyAlignment="1">
      <alignment horizontal="center"/>
    </xf>
    <xf numFmtId="186" fontId="0" fillId="0" borderId="18" xfId="0" applyNumberFormat="1" applyFill="1" applyBorder="1" applyAlignment="1">
      <alignment horizontal="center"/>
    </xf>
    <xf numFmtId="3" fontId="0" fillId="0" borderId="0" xfId="59" applyNumberFormat="1" applyFont="1" applyFill="1" applyBorder="1" applyAlignment="1">
      <alignment horizontal="center"/>
    </xf>
    <xf numFmtId="3" fontId="0" fillId="0" borderId="0" xfId="0" applyNumberFormat="1" applyFill="1" applyBorder="1" applyAlignment="1">
      <alignment horizontal="center"/>
    </xf>
    <xf numFmtId="3" fontId="9" fillId="0" borderId="0" xfId="0" applyNumberFormat="1" applyFont="1" applyFill="1" applyBorder="1" applyAlignment="1">
      <alignment horizontal="center"/>
    </xf>
    <xf numFmtId="2" fontId="0" fillId="0" borderId="0" xfId="0" applyNumberFormat="1" applyFill="1" applyBorder="1" applyAlignment="1">
      <alignment horizontal="center"/>
    </xf>
    <xf numFmtId="0" fontId="0" fillId="0" borderId="0" xfId="0" applyBorder="1" applyAlignment="1">
      <alignment/>
    </xf>
    <xf numFmtId="0" fontId="8" fillId="0" borderId="0" xfId="0" applyFont="1" applyFill="1" applyBorder="1" applyAlignment="1">
      <alignment horizontal="right"/>
    </xf>
    <xf numFmtId="9" fontId="0" fillId="0" borderId="0" xfId="59" applyFont="1" applyFill="1" applyBorder="1" applyAlignment="1">
      <alignment horizontal="center"/>
    </xf>
    <xf numFmtId="186" fontId="0" fillId="0" borderId="0" xfId="0" applyNumberFormat="1" applyFill="1" applyBorder="1" applyAlignment="1">
      <alignment horizontal="center"/>
    </xf>
    <xf numFmtId="0" fontId="0" fillId="0" borderId="0" xfId="0" applyFill="1" applyBorder="1" applyAlignment="1">
      <alignment/>
    </xf>
    <xf numFmtId="3" fontId="9" fillId="0" borderId="40" xfId="0" applyNumberFormat="1" applyFont="1" applyFill="1" applyBorder="1" applyAlignment="1">
      <alignment horizontal="center"/>
    </xf>
    <xf numFmtId="4" fontId="0" fillId="0" borderId="45" xfId="0" applyNumberFormat="1" applyFill="1" applyBorder="1" applyAlignment="1">
      <alignment horizontal="center"/>
    </xf>
    <xf numFmtId="4" fontId="0" fillId="0" borderId="11" xfId="59" applyNumberFormat="1" applyFont="1" applyFill="1" applyBorder="1" applyAlignment="1">
      <alignment horizontal="center"/>
    </xf>
    <xf numFmtId="0" fontId="0" fillId="0" borderId="0" xfId="0" applyFont="1" applyAlignment="1" applyProtection="1">
      <alignment horizontal="center"/>
      <protection/>
    </xf>
    <xf numFmtId="0" fontId="0" fillId="31" borderId="0" xfId="0" applyFill="1" applyAlignment="1" applyProtection="1">
      <alignment horizontal="center"/>
      <protection locked="0"/>
    </xf>
    <xf numFmtId="2" fontId="0" fillId="0" borderId="11" xfId="0" applyNumberFormat="1" applyFont="1" applyBorder="1" applyAlignment="1" applyProtection="1">
      <alignment horizontal="center"/>
      <protection/>
    </xf>
    <xf numFmtId="2" fontId="0" fillId="0" borderId="15" xfId="0" applyNumberFormat="1" applyFont="1" applyBorder="1" applyAlignment="1" applyProtection="1">
      <alignment horizontal="center"/>
      <protection/>
    </xf>
    <xf numFmtId="2" fontId="0" fillId="0" borderId="18" xfId="0" applyNumberFormat="1" applyFont="1" applyBorder="1" applyAlignment="1" applyProtection="1">
      <alignment horizontal="center"/>
      <protection/>
    </xf>
    <xf numFmtId="2" fontId="2" fillId="34" borderId="14" xfId="0" applyNumberFormat="1" applyFont="1" applyFill="1" applyBorder="1" applyAlignment="1" applyProtection="1">
      <alignment/>
      <protection locked="0"/>
    </xf>
    <xf numFmtId="189" fontId="2" fillId="34" borderId="14" xfId="0" applyNumberFormat="1" applyFont="1" applyFill="1" applyBorder="1" applyAlignment="1" applyProtection="1">
      <alignment/>
      <protection locked="0"/>
    </xf>
    <xf numFmtId="0" fontId="2" fillId="34" borderId="12" xfId="0" applyFont="1" applyFill="1" applyBorder="1" applyAlignment="1" applyProtection="1">
      <alignment/>
      <protection locked="0"/>
    </xf>
    <xf numFmtId="2" fontId="2" fillId="34" borderId="10" xfId="0" applyNumberFormat="1" applyFont="1" applyFill="1" applyBorder="1" applyAlignment="1" applyProtection="1">
      <alignment/>
      <protection locked="0"/>
    </xf>
    <xf numFmtId="189" fontId="2" fillId="34" borderId="10" xfId="0" applyNumberFormat="1" applyFont="1" applyFill="1" applyBorder="1" applyAlignment="1" applyProtection="1">
      <alignment/>
      <protection locked="0"/>
    </xf>
    <xf numFmtId="189" fontId="2" fillId="34" borderId="11" xfId="0" applyNumberFormat="1" applyFont="1" applyFill="1" applyBorder="1" applyAlignment="1" applyProtection="1">
      <alignment/>
      <protection locked="0"/>
    </xf>
    <xf numFmtId="0" fontId="2" fillId="34" borderId="13" xfId="0" applyFont="1" applyFill="1" applyBorder="1" applyAlignment="1" applyProtection="1">
      <alignment/>
      <protection locked="0"/>
    </xf>
    <xf numFmtId="189" fontId="2" fillId="34" borderId="15" xfId="0" applyNumberFormat="1" applyFont="1" applyFill="1" applyBorder="1" applyAlignment="1" applyProtection="1">
      <alignment/>
      <protection locked="0"/>
    </xf>
    <xf numFmtId="0" fontId="0" fillId="0" borderId="0" xfId="0" applyFont="1" applyAlignment="1" applyProtection="1">
      <alignment horizontal="left"/>
      <protection/>
    </xf>
    <xf numFmtId="0" fontId="9" fillId="0" borderId="41" xfId="0" applyFont="1" applyBorder="1" applyAlignment="1" applyProtection="1">
      <alignment horizontal="center"/>
      <protection/>
    </xf>
    <xf numFmtId="0" fontId="9" fillId="0" borderId="42" xfId="0" applyFont="1" applyBorder="1" applyAlignment="1" applyProtection="1">
      <alignment horizontal="center"/>
      <protection/>
    </xf>
    <xf numFmtId="182" fontId="9" fillId="0" borderId="44" xfId="0" applyNumberFormat="1" applyFont="1" applyBorder="1" applyAlignment="1" applyProtection="1">
      <alignment horizontal="center"/>
      <protection/>
    </xf>
    <xf numFmtId="218" fontId="0" fillId="0" borderId="0" xfId="0" applyNumberFormat="1" applyAlignment="1">
      <alignment horizontal="center"/>
    </xf>
    <xf numFmtId="0" fontId="2" fillId="31" borderId="13" xfId="0" applyFont="1" applyFill="1" applyBorder="1" applyAlignment="1" applyProtection="1">
      <alignment/>
      <protection locked="0"/>
    </xf>
    <xf numFmtId="2" fontId="2" fillId="31" borderId="14" xfId="0" applyNumberFormat="1" applyFont="1" applyFill="1" applyBorder="1" applyAlignment="1" applyProtection="1">
      <alignment/>
      <protection locked="0"/>
    </xf>
    <xf numFmtId="189" fontId="2" fillId="31" borderId="14" xfId="0" applyNumberFormat="1" applyFont="1" applyFill="1" applyBorder="1" applyAlignment="1" applyProtection="1">
      <alignment/>
      <protection locked="0"/>
    </xf>
    <xf numFmtId="189" fontId="2" fillId="31" borderId="15" xfId="0" applyNumberFormat="1" applyFont="1" applyFill="1" applyBorder="1" applyAlignment="1" applyProtection="1">
      <alignment/>
      <protection locked="0"/>
    </xf>
    <xf numFmtId="0" fontId="2" fillId="31" borderId="14" xfId="0" applyFont="1" applyFill="1" applyBorder="1" applyAlignment="1" applyProtection="1">
      <alignment/>
      <protection locked="0"/>
    </xf>
    <xf numFmtId="0" fontId="2" fillId="31" borderId="15" xfId="0" applyFont="1" applyFill="1" applyBorder="1" applyAlignment="1" applyProtection="1">
      <alignment/>
      <protection locked="0"/>
    </xf>
    <xf numFmtId="3" fontId="0" fillId="31" borderId="0" xfId="0" applyNumberFormat="1" applyFill="1" applyAlignment="1" applyProtection="1">
      <alignment horizontal="center"/>
      <protection locked="0"/>
    </xf>
    <xf numFmtId="0" fontId="9" fillId="0" borderId="0" xfId="0" applyFont="1" applyAlignment="1">
      <alignment horizontal="center"/>
    </xf>
    <xf numFmtId="0" fontId="0" fillId="0" borderId="46" xfId="0" applyBorder="1" applyAlignment="1" applyProtection="1">
      <alignment horizontal="center"/>
      <protection/>
    </xf>
    <xf numFmtId="0" fontId="0" fillId="0" borderId="47" xfId="0" applyBorder="1" applyAlignment="1" applyProtection="1">
      <alignment horizontal="center"/>
      <protection/>
    </xf>
    <xf numFmtId="0" fontId="18" fillId="0" borderId="28" xfId="0" applyFont="1" applyBorder="1" applyAlignment="1" applyProtection="1">
      <alignment horizontal="center"/>
      <protection/>
    </xf>
    <xf numFmtId="0" fontId="18" fillId="0" borderId="21" xfId="0" applyFont="1" applyBorder="1" applyAlignment="1" applyProtection="1">
      <alignment horizontal="center"/>
      <protection/>
    </xf>
    <xf numFmtId="0" fontId="18" fillId="0" borderId="29" xfId="0" applyFont="1" applyBorder="1" applyAlignment="1" applyProtection="1">
      <alignment horizontal="center"/>
      <protection/>
    </xf>
    <xf numFmtId="0" fontId="9" fillId="0" borderId="30"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31" xfId="0" applyFont="1" applyBorder="1" applyAlignment="1" applyProtection="1">
      <alignment horizontal="center"/>
      <protection/>
    </xf>
    <xf numFmtId="0" fontId="9" fillId="0" borderId="0" xfId="0" applyFont="1" applyAlignment="1" applyProtection="1">
      <alignment horizontal="center"/>
      <protection/>
    </xf>
    <xf numFmtId="0" fontId="9" fillId="0" borderId="21" xfId="0" applyFont="1" applyBorder="1" applyAlignment="1" applyProtection="1">
      <alignment horizontal="center"/>
      <protection/>
    </xf>
    <xf numFmtId="0" fontId="9" fillId="0" borderId="21" xfId="0" applyFont="1" applyBorder="1" applyAlignment="1" applyProtection="1">
      <alignment horizontal="center"/>
      <protection/>
    </xf>
    <xf numFmtId="182" fontId="0" fillId="0" borderId="12" xfId="0" applyNumberFormat="1" applyBorder="1" applyAlignment="1" applyProtection="1">
      <alignment horizontal="center"/>
      <protection/>
    </xf>
    <xf numFmtId="182" fontId="0" fillId="0" borderId="10" xfId="0" applyNumberFormat="1" applyBorder="1" applyAlignment="1" applyProtection="1">
      <alignment horizontal="center"/>
      <protection/>
    </xf>
    <xf numFmtId="182" fontId="0" fillId="0" borderId="13" xfId="0" applyNumberFormat="1" applyBorder="1" applyAlignment="1" applyProtection="1">
      <alignment horizontal="center"/>
      <protection/>
    </xf>
    <xf numFmtId="182" fontId="0" fillId="0" borderId="14" xfId="0" applyNumberFormat="1" applyBorder="1" applyAlignment="1" applyProtection="1">
      <alignment horizontal="center"/>
      <protection/>
    </xf>
    <xf numFmtId="182" fontId="0" fillId="0" borderId="16" xfId="0" applyNumberFormat="1" applyBorder="1" applyAlignment="1" applyProtection="1">
      <alignment horizontal="center"/>
      <protection/>
    </xf>
    <xf numFmtId="182" fontId="0" fillId="0" borderId="17" xfId="0" applyNumberFormat="1" applyBorder="1" applyAlignment="1" applyProtection="1">
      <alignment horizontal="center"/>
      <protection/>
    </xf>
    <xf numFmtId="0" fontId="9" fillId="0" borderId="46" xfId="0" applyFont="1" applyBorder="1" applyAlignment="1" applyProtection="1">
      <alignment horizontal="center"/>
      <protection/>
    </xf>
    <xf numFmtId="0" fontId="9" fillId="0" borderId="47"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31" xfId="0" applyFont="1" applyBorder="1" applyAlignment="1" applyProtection="1">
      <alignment horizontal="center"/>
      <protection/>
    </xf>
    <xf numFmtId="0" fontId="10" fillId="33" borderId="46" xfId="0" applyFont="1" applyFill="1" applyBorder="1" applyAlignment="1" applyProtection="1">
      <alignment horizontal="center"/>
      <protection/>
    </xf>
    <xf numFmtId="0" fontId="10" fillId="33" borderId="48" xfId="0" applyFont="1" applyFill="1" applyBorder="1" applyAlignment="1" applyProtection="1">
      <alignment horizontal="center"/>
      <protection/>
    </xf>
    <xf numFmtId="0" fontId="10" fillId="33" borderId="49" xfId="0" applyFont="1" applyFill="1" applyBorder="1" applyAlignment="1" applyProtection="1">
      <alignment horizontal="center"/>
      <protection/>
    </xf>
    <xf numFmtId="2" fontId="9" fillId="33" borderId="50" xfId="0" applyNumberFormat="1" applyFont="1" applyFill="1" applyBorder="1" applyAlignment="1" applyProtection="1">
      <alignment horizontal="center"/>
      <protection/>
    </xf>
    <xf numFmtId="2" fontId="9" fillId="33" borderId="48" xfId="0" applyNumberFormat="1" applyFont="1" applyFill="1" applyBorder="1" applyAlignment="1" applyProtection="1">
      <alignment horizontal="center"/>
      <protection/>
    </xf>
    <xf numFmtId="2" fontId="9" fillId="33" borderId="49" xfId="0" applyNumberFormat="1" applyFont="1" applyFill="1" applyBorder="1" applyAlignment="1" applyProtection="1">
      <alignment horizontal="center"/>
      <protection/>
    </xf>
    <xf numFmtId="0" fontId="10" fillId="33" borderId="50" xfId="0" applyFont="1" applyFill="1" applyBorder="1" applyAlignment="1" applyProtection="1">
      <alignment horizontal="center"/>
      <protection/>
    </xf>
    <xf numFmtId="0" fontId="9" fillId="0" borderId="51" xfId="0" applyFont="1" applyBorder="1" applyAlignment="1" applyProtection="1">
      <alignment horizontal="center"/>
      <protection/>
    </xf>
    <xf numFmtId="0" fontId="14" fillId="0" borderId="0" xfId="0" applyFont="1" applyAlignment="1" applyProtection="1">
      <alignment horizontal="center"/>
      <protection locked="0"/>
    </xf>
    <xf numFmtId="0" fontId="0" fillId="0" borderId="52" xfId="0"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'CSA B415.1 Calculations'!$A$4:$B$4</c:f>
        </c:strRef>
      </c:tx>
      <c:layout>
        <c:manualLayout>
          <c:xMode val="factor"/>
          <c:yMode val="factor"/>
          <c:x val="0"/>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395"/>
          <c:y val="0.09475"/>
          <c:w val="0.77225"/>
          <c:h val="0.82875"/>
        </c:manualLayout>
      </c:layout>
      <c:scatterChart>
        <c:scatterStyle val="smoothMarker"/>
        <c:varyColors val="0"/>
        <c:ser>
          <c:idx val="1"/>
          <c:order val="1"/>
          <c:tx>
            <c:strRef>
              <c:f>'CSA B415.1 Calculations'!$C$19</c:f>
              <c:strCache>
                <c:ptCount val="1"/>
                <c:pt idx="0">
                  <c:v>CO [e]</c:v>
                </c:pt>
              </c:strCache>
            </c:strRef>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'CSA B415.1 Calculations'!$A$20:$A$63</c:f>
              <c:num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numCache>
            </c:numRef>
          </c:xVal>
          <c:yVal>
            <c:numRef>
              <c:f>'CSA B415.1 Calculations'!$C$20:$C$63</c:f>
              <c:numCache>
                <c:ptCount val="44"/>
                <c:pt idx="0">
                  <c:v>6.980799198150635</c:v>
                </c:pt>
                <c:pt idx="1">
                  <c:v>7.297422409057617</c:v>
                </c:pt>
                <c:pt idx="2">
                  <c:v>1.9144656658172607</c:v>
                </c:pt>
                <c:pt idx="3">
                  <c:v>0.28405848145484924</c:v>
                </c:pt>
                <c:pt idx="4">
                  <c:v>0.09209742397069931</c:v>
                </c:pt>
                <c:pt idx="5">
                  <c:v>0.0655435174703598</c:v>
                </c:pt>
                <c:pt idx="6">
                  <c:v>0.19330216944217682</c:v>
                </c:pt>
                <c:pt idx="7">
                  <c:v>0.297579288482666</c:v>
                </c:pt>
                <c:pt idx="8">
                  <c:v>1.427010178565979</c:v>
                </c:pt>
                <c:pt idx="9">
                  <c:v>2.3224668502807617</c:v>
                </c:pt>
                <c:pt idx="10">
                  <c:v>2.4133450984954834</c:v>
                </c:pt>
                <c:pt idx="11">
                  <c:v>2.0590126514434814</c:v>
                </c:pt>
                <c:pt idx="12">
                  <c:v>1.2247956991195679</c:v>
                </c:pt>
                <c:pt idx="13">
                  <c:v>0.7974583506584167</c:v>
                </c:pt>
                <c:pt idx="14">
                  <c:v>0.5429163575172424</c:v>
                </c:pt>
                <c:pt idx="15">
                  <c:v>0.47870177030563354</c:v>
                </c:pt>
                <c:pt idx="16">
                  <c:v>0.48267632722854614</c:v>
                </c:pt>
                <c:pt idx="17">
                  <c:v>0.5034634470939636</c:v>
                </c:pt>
                <c:pt idx="18">
                  <c:v>0.5216537714004517</c:v>
                </c:pt>
                <c:pt idx="19">
                  <c:v>0.6344529390335083</c:v>
                </c:pt>
                <c:pt idx="20">
                  <c:v>0.7782073616981506</c:v>
                </c:pt>
                <c:pt idx="21">
                  <c:v>0.7781951427459717</c:v>
                </c:pt>
                <c:pt idx="22">
                  <c:v>0.7542747259140015</c:v>
                </c:pt>
                <c:pt idx="23">
                  <c:v>0.6693704724311829</c:v>
                </c:pt>
                <c:pt idx="24">
                  <c:v>0.7354626655578613</c:v>
                </c:pt>
                <c:pt idx="25">
                  <c:v>0.9162193536758423</c:v>
                </c:pt>
                <c:pt idx="26">
                  <c:v>1.122591257095337</c:v>
                </c:pt>
                <c:pt idx="27">
                  <c:v>0.9516733288764954</c:v>
                </c:pt>
                <c:pt idx="28">
                  <c:v>0.9117693305015564</c:v>
                </c:pt>
                <c:pt idx="29">
                  <c:v>1.0561211109161377</c:v>
                </c:pt>
                <c:pt idx="30">
                  <c:v>1.176198959350586</c:v>
                </c:pt>
                <c:pt idx="31">
                  <c:v>1.064106822013855</c:v>
                </c:pt>
                <c:pt idx="32">
                  <c:v>0.9117693305015564</c:v>
                </c:pt>
                <c:pt idx="33">
                  <c:v>0.9490154981613159</c:v>
                </c:pt>
                <c:pt idx="34">
                  <c:v>1.077176570892334</c:v>
                </c:pt>
                <c:pt idx="35">
                  <c:v>1.0298963785171509</c:v>
                </c:pt>
                <c:pt idx="36">
                  <c:v>0.9490033388137817</c:v>
                </c:pt>
                <c:pt idx="37">
                  <c:v>0.7942153215408325</c:v>
                </c:pt>
                <c:pt idx="38">
                  <c:v>0.6637622117996216</c:v>
                </c:pt>
                <c:pt idx="39">
                  <c:v>0.6286252737045288</c:v>
                </c:pt>
                <c:pt idx="40">
                  <c:v>0.5917935967445374</c:v>
                </c:pt>
                <c:pt idx="41">
                  <c:v>0.569726288318634</c:v>
                </c:pt>
                <c:pt idx="42">
                  <c:v>0.5295053124427795</c:v>
                </c:pt>
                <c:pt idx="43">
                  <c:v>0.513802170753479</c:v>
                </c:pt>
              </c:numCache>
            </c:numRef>
          </c:yVal>
          <c:smooth val="1"/>
        </c:ser>
        <c:ser>
          <c:idx val="2"/>
          <c:order val="2"/>
          <c:tx>
            <c:strRef>
              <c:f>'CSA B415.1 Calculations'!$D$19</c:f>
              <c:strCache>
                <c:ptCount val="1"/>
                <c:pt idx="0">
                  <c:v>CO2 [d]</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'CSA B415.1 Calculations'!$A$20:$A$63</c:f>
              <c:num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numCache>
            </c:numRef>
          </c:xVal>
          <c:yVal>
            <c:numRef>
              <c:f>'CSA B415.1 Calculations'!$D$20:$D$63</c:f>
              <c:numCache>
                <c:ptCount val="44"/>
                <c:pt idx="0">
                  <c:v>17.49610137939453</c:v>
                </c:pt>
                <c:pt idx="1">
                  <c:v>19.160171508789062</c:v>
                </c:pt>
                <c:pt idx="2">
                  <c:v>6.643443584442139</c:v>
                </c:pt>
                <c:pt idx="3">
                  <c:v>1.937319278717041</c:v>
                </c:pt>
                <c:pt idx="4">
                  <c:v>1.091568946838379</c:v>
                </c:pt>
                <c:pt idx="5">
                  <c:v>0.8464818596839905</c:v>
                </c:pt>
                <c:pt idx="6">
                  <c:v>4.476490497589111</c:v>
                </c:pt>
                <c:pt idx="7">
                  <c:v>23.076627731323242</c:v>
                </c:pt>
                <c:pt idx="8">
                  <c:v>27.441715240478516</c:v>
                </c:pt>
                <c:pt idx="9">
                  <c:v>27.441898345947266</c:v>
                </c:pt>
                <c:pt idx="10">
                  <c:v>27.44168472290039</c:v>
                </c:pt>
                <c:pt idx="11">
                  <c:v>27.44211196899414</c:v>
                </c:pt>
                <c:pt idx="12">
                  <c:v>27.441654205322266</c:v>
                </c:pt>
                <c:pt idx="13">
                  <c:v>27.441776275634766</c:v>
                </c:pt>
                <c:pt idx="14">
                  <c:v>27.44168472290039</c:v>
                </c:pt>
                <c:pt idx="15">
                  <c:v>27.441776275634766</c:v>
                </c:pt>
                <c:pt idx="16">
                  <c:v>27.44174575805664</c:v>
                </c:pt>
                <c:pt idx="17">
                  <c:v>27.44168472290039</c:v>
                </c:pt>
                <c:pt idx="18">
                  <c:v>27.441898345947266</c:v>
                </c:pt>
                <c:pt idx="19">
                  <c:v>27.44168472290039</c:v>
                </c:pt>
                <c:pt idx="20">
                  <c:v>27.441837310791016</c:v>
                </c:pt>
                <c:pt idx="21">
                  <c:v>27.441776275634766</c:v>
                </c:pt>
                <c:pt idx="22">
                  <c:v>27.44186782836914</c:v>
                </c:pt>
                <c:pt idx="23">
                  <c:v>27.441715240478516</c:v>
                </c:pt>
                <c:pt idx="24">
                  <c:v>27.441837310791016</c:v>
                </c:pt>
                <c:pt idx="25">
                  <c:v>27.44162368774414</c:v>
                </c:pt>
                <c:pt idx="26">
                  <c:v>27.441776275634766</c:v>
                </c:pt>
                <c:pt idx="27">
                  <c:v>27.441654205322266</c:v>
                </c:pt>
                <c:pt idx="28">
                  <c:v>27.441715240478516</c:v>
                </c:pt>
                <c:pt idx="29">
                  <c:v>27.441654205322266</c:v>
                </c:pt>
                <c:pt idx="30">
                  <c:v>27.441715240478516</c:v>
                </c:pt>
                <c:pt idx="31">
                  <c:v>27.44162368774414</c:v>
                </c:pt>
                <c:pt idx="32">
                  <c:v>27.44162368774414</c:v>
                </c:pt>
                <c:pt idx="33">
                  <c:v>27.441654205322266</c:v>
                </c:pt>
                <c:pt idx="34">
                  <c:v>27.441654205322266</c:v>
                </c:pt>
                <c:pt idx="35">
                  <c:v>27.441837310791016</c:v>
                </c:pt>
                <c:pt idx="36">
                  <c:v>27.44168472290039</c:v>
                </c:pt>
                <c:pt idx="37">
                  <c:v>27.441959381103516</c:v>
                </c:pt>
                <c:pt idx="38">
                  <c:v>27.44174575805664</c:v>
                </c:pt>
                <c:pt idx="39">
                  <c:v>27.441959381103516</c:v>
                </c:pt>
                <c:pt idx="40">
                  <c:v>27.441654205322266</c:v>
                </c:pt>
                <c:pt idx="41">
                  <c:v>27.441898345947266</c:v>
                </c:pt>
                <c:pt idx="42">
                  <c:v>27.441654205322266</c:v>
                </c:pt>
                <c:pt idx="43">
                  <c:v>27.441837310791016</c:v>
                </c:pt>
              </c:numCache>
            </c:numRef>
          </c:yVal>
          <c:smooth val="1"/>
        </c:ser>
        <c:ser>
          <c:idx val="4"/>
          <c:order val="3"/>
          <c:tx>
            <c:v>CH4 [k]</c:v>
          </c:tx>
          <c:spPr>
            <a:ln w="25400">
              <a:solidFill>
                <a:srgbClr val="4600A5"/>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'CSA B415.1 Calculations'!$A$20:$A$63</c:f>
              <c:num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numCache>
            </c:numRef>
          </c:xVal>
          <c:yVal>
            <c:numRef>
              <c:f>'CSA B415.1 Calculations'!$AB$20:$AB$63</c:f>
              <c:numCache>
                <c:ptCount val="44"/>
                <c:pt idx="0">
                  <c:v>1.0079519137002393</c:v>
                </c:pt>
                <c:pt idx="1">
                  <c:v>1.056642618612205</c:v>
                </c:pt>
                <c:pt idx="2">
                  <c:v>0.25536703110391556</c:v>
                </c:pt>
                <c:pt idx="3">
                  <c:v>0.01113565745050682</c:v>
                </c:pt>
                <c:pt idx="4">
                  <c:v>-0.018110062592932685</c:v>
                </c:pt>
                <c:pt idx="5">
                  <c:v>-0.022370983819579138</c:v>
                </c:pt>
                <c:pt idx="6">
                  <c:v>0.002250229266345549</c:v>
                </c:pt>
                <c:pt idx="7">
                  <c:v>0.04863780918620364</c:v>
                </c:pt>
                <c:pt idx="8">
                  <c:v>0.21968195753287034</c:v>
                </c:pt>
                <c:pt idx="9">
                  <c:v>0.3494739059858851</c:v>
                </c:pt>
                <c:pt idx="10">
                  <c:v>0.36264586134490173</c:v>
                </c:pt>
                <c:pt idx="11">
                  <c:v>0.3112879924251466</c:v>
                </c:pt>
                <c:pt idx="12">
                  <c:v>0.19037195096295179</c:v>
                </c:pt>
                <c:pt idx="13">
                  <c:v>0.1284319001384695</c:v>
                </c:pt>
                <c:pt idx="14">
                  <c:v>0.09153724987636735</c:v>
                </c:pt>
                <c:pt idx="15">
                  <c:v>0.08222984389188426</c:v>
                </c:pt>
                <c:pt idx="16">
                  <c:v>0.08280588328457839</c:v>
                </c:pt>
                <c:pt idx="17">
                  <c:v>0.08581876216875273</c:v>
                </c:pt>
                <c:pt idx="18">
                  <c:v>0.08845571126210316</c:v>
                </c:pt>
                <c:pt idx="19">
                  <c:v>0.10480498628875168</c:v>
                </c:pt>
                <c:pt idx="20">
                  <c:v>0.12564167518790015</c:v>
                </c:pt>
                <c:pt idx="21">
                  <c:v>0.12563980149542786</c:v>
                </c:pt>
                <c:pt idx="22">
                  <c:v>0.12217281933601498</c:v>
                </c:pt>
                <c:pt idx="23">
                  <c:v>0.10986614673849004</c:v>
                </c:pt>
                <c:pt idx="24">
                  <c:v>0.11944606080048104</c:v>
                </c:pt>
                <c:pt idx="25">
                  <c:v>0.14564541384073237</c:v>
                </c:pt>
                <c:pt idx="26">
                  <c:v>0.17555817064301493</c:v>
                </c:pt>
                <c:pt idx="27">
                  <c:v>0.1507843286518913</c:v>
                </c:pt>
                <c:pt idx="28">
                  <c:v>0.1450005607866025</c:v>
                </c:pt>
                <c:pt idx="29">
                  <c:v>0.1659234743137219</c:v>
                </c:pt>
                <c:pt idx="30">
                  <c:v>0.18332821686768952</c:v>
                </c:pt>
                <c:pt idx="31">
                  <c:v>0.16708090898487526</c:v>
                </c:pt>
                <c:pt idx="32">
                  <c:v>0.14500040685525306</c:v>
                </c:pt>
                <c:pt idx="33">
                  <c:v>0.15039909034855015</c:v>
                </c:pt>
                <c:pt idx="34">
                  <c:v>0.16897535027826294</c:v>
                </c:pt>
                <c:pt idx="35">
                  <c:v>0.16212264790647168</c:v>
                </c:pt>
                <c:pt idx="36">
                  <c:v>0.1503973792268063</c:v>
                </c:pt>
                <c:pt idx="37">
                  <c:v>0.12796214832888708</c:v>
                </c:pt>
                <c:pt idx="38">
                  <c:v>0.10905331075776559</c:v>
                </c:pt>
                <c:pt idx="39">
                  <c:v>0.10396075925782</c:v>
                </c:pt>
                <c:pt idx="40">
                  <c:v>0.09862169217372596</c:v>
                </c:pt>
                <c:pt idx="41">
                  <c:v>0.09542356468841362</c:v>
                </c:pt>
                <c:pt idx="42">
                  <c:v>0.08959333953037074</c:v>
                </c:pt>
                <c:pt idx="43">
                  <c:v>0.0873175612499324</c:v>
                </c:pt>
              </c:numCache>
            </c:numRef>
          </c:yVal>
          <c:smooth val="1"/>
        </c:ser>
        <c:ser>
          <c:idx val="5"/>
          <c:order val="4"/>
          <c:tx>
            <c:v>O2 Calc. [g]</c:v>
          </c:tx>
          <c:spPr>
            <a:ln w="254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'CSA B415.1 Calculations'!$A$20:$A$63</c:f>
              <c:num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numCache>
            </c:numRef>
          </c:xVal>
          <c:yVal>
            <c:numRef>
              <c:f>'CSA B415.1 Calculations'!$G$20:$G$63</c:f>
              <c:numCache>
                <c:ptCount val="44"/>
                <c:pt idx="0">
                  <c:v>-1.4527912312803437</c:v>
                </c:pt>
                <c:pt idx="1">
                  <c:v>-3.3889712687136218</c:v>
                </c:pt>
                <c:pt idx="2">
                  <c:v>12.847639420067093</c:v>
                </c:pt>
                <c:pt idx="3">
                  <c:v>18.73302495030744</c:v>
                </c:pt>
                <c:pt idx="4">
                  <c:v>19.73437624397557</c:v>
                </c:pt>
                <c:pt idx="5">
                  <c:v>20.008347083959602</c:v>
                </c:pt>
                <c:pt idx="6">
                  <c:v>16.09856121684581</c:v>
                </c:pt>
                <c:pt idx="7">
                  <c:v>-3.6283537246741986</c:v>
                </c:pt>
                <c:pt idx="8">
                  <c:v>-8.87383748348353</c:v>
                </c:pt>
                <c:pt idx="9">
                  <c:v>-9.373206807914283</c:v>
                </c:pt>
                <c:pt idx="10">
                  <c:v>-9.423641333632297</c:v>
                </c:pt>
                <c:pt idx="11">
                  <c:v>-9.226569167651526</c:v>
                </c:pt>
                <c:pt idx="12">
                  <c:v>-8.761047717408047</c:v>
                </c:pt>
                <c:pt idx="13">
                  <c:v>-8.522955984517907</c:v>
                </c:pt>
                <c:pt idx="14">
                  <c:v>-8.380963777651978</c:v>
                </c:pt>
                <c:pt idx="15">
                  <c:v>-8.345263926609807</c:v>
                </c:pt>
                <c:pt idx="16">
                  <c:v>-8.34744728742844</c:v>
                </c:pt>
                <c:pt idx="17">
                  <c:v>-8.358970603939873</c:v>
                </c:pt>
                <c:pt idx="18">
                  <c:v>-8.36933676532593</c:v>
                </c:pt>
                <c:pt idx="19">
                  <c:v>-8.431991190248436</c:v>
                </c:pt>
                <c:pt idx="20">
                  <c:v>-8.512288989973076</c:v>
                </c:pt>
                <c:pt idx="21">
                  <c:v>-8.512217636615926</c:v>
                </c:pt>
                <c:pt idx="22">
                  <c:v>-8.498979922821349</c:v>
                </c:pt>
                <c:pt idx="23">
                  <c:v>-8.451488371860535</c:v>
                </c:pt>
                <c:pt idx="24">
                  <c:v>-8.48846079789805</c:v>
                </c:pt>
                <c:pt idx="25">
                  <c:v>-8.588998398916669</c:v>
                </c:pt>
                <c:pt idx="26">
                  <c:v>-8.704202549449928</c:v>
                </c:pt>
                <c:pt idx="27">
                  <c:v>-8.608794622035028</c:v>
                </c:pt>
                <c:pt idx="28">
                  <c:v>-8.586614529499155</c:v>
                </c:pt>
                <c:pt idx="29">
                  <c:v>-8.667019432057835</c:v>
                </c:pt>
                <c:pt idx="30">
                  <c:v>-8.734021823397395</c:v>
                </c:pt>
                <c:pt idx="31">
                  <c:v>-8.671438825899283</c:v>
                </c:pt>
                <c:pt idx="32">
                  <c:v>-8.586517716714901</c:v>
                </c:pt>
                <c:pt idx="33">
                  <c:v>-8.60731300427884</c:v>
                </c:pt>
                <c:pt idx="34">
                  <c:v>-8.678756877632232</c:v>
                </c:pt>
                <c:pt idx="35">
                  <c:v>-8.652593981643957</c:v>
                </c:pt>
                <c:pt idx="36">
                  <c:v>-8.607338496932787</c:v>
                </c:pt>
                <c:pt idx="37">
                  <c:v>-8.52134177127374</c:v>
                </c:pt>
                <c:pt idx="38">
                  <c:v>-8.448394296748003</c:v>
                </c:pt>
                <c:pt idx="39">
                  <c:v>-8.429032974584526</c:v>
                </c:pt>
                <c:pt idx="40">
                  <c:v>-8.408178308071658</c:v>
                </c:pt>
                <c:pt idx="41">
                  <c:v>-8.396134971187465</c:v>
                </c:pt>
                <c:pt idx="42">
                  <c:v>-8.373455469067377</c:v>
                </c:pt>
                <c:pt idx="43">
                  <c:v>-8.36489531907679</c:v>
                </c:pt>
              </c:numCache>
            </c:numRef>
          </c:yVal>
          <c:smooth val="1"/>
        </c:ser>
        <c:axId val="16269527"/>
        <c:axId val="12208016"/>
      </c:scatterChart>
      <c:scatterChart>
        <c:scatterStyle val="lineMarker"/>
        <c:varyColors val="0"/>
        <c:ser>
          <c:idx val="0"/>
          <c:order val="0"/>
          <c:tx>
            <c:strRef>
              <c:f>'CSA B415.1 Calculations'!$B$18</c:f>
              <c:strCache>
                <c:ptCount val="1"/>
                <c:pt idx="0">
                  <c:v>Weight</c:v>
                </c:pt>
              </c:strCache>
            </c:strRef>
          </c:tx>
          <c:spPr>
            <a:ln w="25400">
              <a:solidFill>
                <a:srgbClr val="00009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'CSA B415.1 Calculations'!$A$20:$A$63</c:f>
              <c:numCache>
                <c:ptCount val="44"/>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numCache>
            </c:numRef>
          </c:xVal>
          <c:yVal>
            <c:numRef>
              <c:f>'CSA B415.1 Calculations'!$B$20:$B$63</c:f>
              <c:numCache>
                <c:ptCount val="44"/>
                <c:pt idx="0">
                  <c:v>117.07803992740472</c:v>
                </c:pt>
                <c:pt idx="1">
                  <c:v>116.04791630850512</c:v>
                </c:pt>
                <c:pt idx="2">
                  <c:v>116.0434439048144</c:v>
                </c:pt>
                <c:pt idx="3">
                  <c:v>116.04998635293784</c:v>
                </c:pt>
                <c:pt idx="4">
                  <c:v>116.05722112361401</c:v>
                </c:pt>
                <c:pt idx="5">
                  <c:v>115.61754091681672</c:v>
                </c:pt>
                <c:pt idx="6">
                  <c:v>115.1685766645871</c:v>
                </c:pt>
                <c:pt idx="7">
                  <c:v>114.27098739817873</c:v>
                </c:pt>
                <c:pt idx="8">
                  <c:v>113.8258032270871</c:v>
                </c:pt>
                <c:pt idx="9">
                  <c:v>113.32244319188833</c:v>
                </c:pt>
                <c:pt idx="10">
                  <c:v>112.88380839214567</c:v>
                </c:pt>
                <c:pt idx="11">
                  <c:v>112.02133372561251</c:v>
                </c:pt>
                <c:pt idx="12">
                  <c:v>111.57512491714283</c:v>
                </c:pt>
                <c:pt idx="13">
                  <c:v>111.12064285416784</c:v>
                </c:pt>
                <c:pt idx="14">
                  <c:v>110.6086703264129</c:v>
                </c:pt>
                <c:pt idx="15">
                  <c:v>109.73381000941114</c:v>
                </c:pt>
                <c:pt idx="16">
                  <c:v>109.2889719995959</c:v>
                </c:pt>
                <c:pt idx="17">
                  <c:v>108.8544634422676</c:v>
                </c:pt>
                <c:pt idx="18">
                  <c:v>107.86667147046208</c:v>
                </c:pt>
                <c:pt idx="19">
                  <c:v>107.42080190004323</c:v>
                </c:pt>
                <c:pt idx="20">
                  <c:v>106.54008453424525</c:v>
                </c:pt>
                <c:pt idx="21">
                  <c:v>106.11005530383322</c:v>
                </c:pt>
                <c:pt idx="22">
                  <c:v>105.12707497376927</c:v>
                </c:pt>
                <c:pt idx="23">
                  <c:v>104.25358545542196</c:v>
                </c:pt>
                <c:pt idx="24">
                  <c:v>103.82286390245717</c:v>
                </c:pt>
                <c:pt idx="25">
                  <c:v>102.92424999867073</c:v>
                </c:pt>
                <c:pt idx="26">
                  <c:v>102.41950531836646</c:v>
                </c:pt>
                <c:pt idx="27">
                  <c:v>101.54257495693199</c:v>
                </c:pt>
                <c:pt idx="28">
                  <c:v>100.65600746556332</c:v>
                </c:pt>
                <c:pt idx="29">
                  <c:v>99.71984890974151</c:v>
                </c:pt>
                <c:pt idx="30">
                  <c:v>99.26571993126842</c:v>
                </c:pt>
                <c:pt idx="31">
                  <c:v>98.37123226989634</c:v>
                </c:pt>
                <c:pt idx="32">
                  <c:v>97.5087576033632</c:v>
                </c:pt>
                <c:pt idx="33">
                  <c:v>96.9695837225109</c:v>
                </c:pt>
                <c:pt idx="34">
                  <c:v>96.08060694865868</c:v>
                </c:pt>
                <c:pt idx="35">
                  <c:v>95.2215800484382</c:v>
                </c:pt>
                <c:pt idx="36">
                  <c:v>94.75883857740897</c:v>
                </c:pt>
                <c:pt idx="37">
                  <c:v>93.78722618366109</c:v>
                </c:pt>
                <c:pt idx="38">
                  <c:v>92.93094780397502</c:v>
                </c:pt>
                <c:pt idx="39">
                  <c:v>92.47234642181118</c:v>
                </c:pt>
                <c:pt idx="40">
                  <c:v>91.55478364975612</c:v>
                </c:pt>
                <c:pt idx="41">
                  <c:v>90.86893431287928</c:v>
                </c:pt>
                <c:pt idx="42">
                  <c:v>90.21925190615784</c:v>
                </c:pt>
                <c:pt idx="43">
                  <c:v>89.33715681847988</c:v>
                </c:pt>
              </c:numCache>
            </c:numRef>
          </c:yVal>
          <c:smooth val="1"/>
        </c:ser>
        <c:axId val="42763281"/>
        <c:axId val="49325210"/>
      </c:scatterChart>
      <c:valAx>
        <c:axId val="16269527"/>
        <c:scaling>
          <c:orientation val="minMax"/>
          <c:min val="0"/>
        </c:scaling>
        <c:axPos val="b"/>
        <c:title>
          <c:tx>
            <c:rich>
              <a:bodyPr vert="horz" rot="0" anchor="ctr"/>
              <a:lstStyle/>
              <a:p>
                <a:pPr algn="ctr">
                  <a:defRPr/>
                </a:pPr>
                <a:r>
                  <a:rPr lang="en-US" cap="none" sz="1200" b="1" i="0" u="none" baseline="0">
                    <a:solidFill>
                      <a:srgbClr val="000000"/>
                    </a:solidFill>
                    <a:latin typeface="Arial"/>
                    <a:ea typeface="Arial"/>
                    <a:cs typeface="Arial"/>
                  </a:rPr>
                  <a:t>Time (min)</a:t>
                </a:r>
              </a:p>
            </c:rich>
          </c:tx>
          <c:layout>
            <c:manualLayout>
              <c:xMode val="factor"/>
              <c:yMode val="factor"/>
              <c:x val="0.0062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2208016"/>
        <c:crossesAt val="-5"/>
        <c:crossBetween val="midCat"/>
        <c:dispUnits/>
      </c:valAx>
      <c:valAx>
        <c:axId val="1220801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Concentration (%)</a:t>
                </a:r>
              </a:p>
            </c:rich>
          </c:tx>
          <c:layout>
            <c:manualLayout>
              <c:xMode val="factor"/>
              <c:yMode val="factor"/>
              <c:x val="-0.00675"/>
              <c:y val="0.001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6269527"/>
        <c:crosses val="autoZero"/>
        <c:crossBetween val="midCat"/>
        <c:dispUnits/>
      </c:valAx>
      <c:valAx>
        <c:axId val="42763281"/>
        <c:scaling>
          <c:orientation val="minMax"/>
        </c:scaling>
        <c:axPos val="b"/>
        <c:delete val="1"/>
        <c:majorTickMark val="out"/>
        <c:minorTickMark val="none"/>
        <c:tickLblPos val="nextTo"/>
        <c:crossAx val="49325210"/>
        <c:crosses val="max"/>
        <c:crossBetween val="midCat"/>
        <c:dispUnits/>
      </c:valAx>
      <c:valAx>
        <c:axId val="49325210"/>
        <c:scaling>
          <c:orientation val="minMax"/>
          <c:max val="260"/>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Fuel Wt. (kg)</a:t>
                </a:r>
              </a:p>
            </c:rich>
          </c:tx>
          <c:layout>
            <c:manualLayout>
              <c:xMode val="factor"/>
              <c:yMode val="factor"/>
              <c:x val="-0.0085"/>
              <c:y val="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2763281"/>
        <c:crosses val="max"/>
        <c:crossBetween val="midCat"/>
        <c:dispUnits/>
      </c:valAx>
      <c:spPr>
        <a:solidFill>
          <a:srgbClr val="FFFFFF"/>
        </a:solidFill>
        <a:ln w="12700">
          <a:solidFill>
            <a:srgbClr val="808080"/>
          </a:solidFill>
        </a:ln>
      </c:spPr>
    </c:plotArea>
    <c:legend>
      <c:legendPos val="r"/>
      <c:layout>
        <c:manualLayout>
          <c:xMode val="edge"/>
          <c:yMode val="edge"/>
          <c:x val="0.8715"/>
          <c:y val="0.423"/>
          <c:w val="0.12325"/>
          <c:h val="0.23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9</xdr:col>
      <xdr:colOff>685800</xdr:colOff>
      <xdr:row>44</xdr:row>
      <xdr:rowOff>123825</xdr:rowOff>
    </xdr:to>
    <xdr:sp>
      <xdr:nvSpPr>
        <xdr:cNvPr id="1" name="Text Box 1"/>
        <xdr:cNvSpPr txBox="1">
          <a:spLocks noChangeArrowheads="1"/>
        </xdr:cNvSpPr>
      </xdr:nvSpPr>
      <xdr:spPr>
        <a:xfrm>
          <a:off x="9525" y="38100"/>
          <a:ext cx="7362825" cy="8467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This Excel spreadsheet calculates solid fuel appliance efficiency and heat output in accordance with the procedure specified in CSA B415.1-09.  In general the column headings correspond to the variables used in the Standard.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All data from a test run are entered on the "Data" sheet.  The cells requiring data entry are highlighted.  Please note that input data can be entered in either yard/pound or SI units.  Select the units in cells F4 and F5 of the "Data" sheet.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Particulate emissions determined using the dilution tunnel method should be entered in cell C13 of the "Data" sheet as total grams of emissions.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Since oxygen concentrations are calculated for the efficiency determination, entry of measured oxygen data is optional.  However, it might be useful to include the measured oxygen values for comparison to the calculated values for diagnostic purposes.  A deviation of more than 1 or 2 percentage points can indicate inaccurate CO, CO</a:t>
          </a:r>
          <a:r>
            <a:rPr lang="en-US" cap="none" sz="1200" b="0" i="0" u="none" baseline="-25000">
              <a:solidFill>
                <a:srgbClr val="000000"/>
              </a:solidFill>
              <a:latin typeface="Arial"/>
              <a:ea typeface="Arial"/>
              <a:cs typeface="Arial"/>
            </a:rPr>
            <a:t>2</a:t>
          </a:r>
          <a:r>
            <a:rPr lang="en-US" cap="none" sz="1200" b="0" i="0" u="none" baseline="0">
              <a:solidFill>
                <a:srgbClr val="000000"/>
              </a:solidFill>
              <a:latin typeface="Arial"/>
              <a:ea typeface="Arial"/>
              <a:cs typeface="Arial"/>
            </a:rPr>
            <a:t>, or fuel composition input data.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Selection of an appliance type in cell F2 of the "Data" sheet is needed for the air/fuel ratio calculation in accordance with Clause 16.3.5 of the Standard.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"CSA B415.1 Calculations" and "Report" sheets include calculation of efficiencies based on the Lower Heating Value (LHV) of the fuel,  which is not required in CSA B415.1-09.  The LHV is calculated from the Higher Heating Value (HHV) and fuel composition data in accordance with ASTM E711.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"CSA B415.1 Calculations" sheet is locked and password protected to prevent inadvertent modifications.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The "Chart" sheet includes a chart of flue gas composition data and fuel consumption.  The range of cells in the "CSA B415.1 Calculations" sheet to be charted or plotted might need to be adjusted to correspond to the number of data points entered.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Please report any errors or problems to Tony Joseph at CSA.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Tony Joseph 
</a:t>
          </a:r>
          <a:r>
            <a:rPr lang="en-US" cap="none" sz="1200" b="0" i="0" u="none" baseline="0">
              <a:solidFill>
                <a:srgbClr val="000000"/>
              </a:solidFill>
              <a:latin typeface="Arial"/>
              <a:ea typeface="Arial"/>
              <a:cs typeface="Arial"/>
            </a:rPr>
            <a:t>A.L.P. (Tony) Joseph 
</a:t>
          </a:r>
          <a:r>
            <a:rPr lang="en-US" cap="none" sz="1200" b="0" i="0" u="none" baseline="0">
              <a:solidFill>
                <a:srgbClr val="000000"/>
              </a:solidFill>
              <a:latin typeface="Arial"/>
              <a:ea typeface="Arial"/>
              <a:cs typeface="Arial"/>
            </a:rPr>
            <a:t>Project Manager, Energy &amp; Utilities 
</a:t>
          </a:r>
          <a:r>
            <a:rPr lang="en-US" cap="none" sz="1200" b="0" i="0" u="none" baseline="0">
              <a:solidFill>
                <a:srgbClr val="000000"/>
              </a:solidFill>
              <a:latin typeface="Arial"/>
              <a:ea typeface="Arial"/>
              <a:cs typeface="Arial"/>
            </a:rPr>
            <a:t>Canadian Standards Association 
</a:t>
          </a:r>
          <a:r>
            <a:rPr lang="en-US" cap="none" sz="1200" b="0" i="0" u="none" baseline="0">
              <a:solidFill>
                <a:srgbClr val="000000"/>
              </a:solidFill>
              <a:latin typeface="Arial"/>
              <a:ea typeface="Arial"/>
              <a:cs typeface="Arial"/>
            </a:rPr>
            <a:t>5060 Spectrum Way, Suite 100 
</a:t>
          </a:r>
          <a:r>
            <a:rPr lang="en-US" cap="none" sz="1200" b="0" i="0" u="none" baseline="0">
              <a:solidFill>
                <a:srgbClr val="000000"/>
              </a:solidFill>
              <a:latin typeface="Arial"/>
              <a:ea typeface="Arial"/>
              <a:cs typeface="Arial"/>
            </a:rPr>
            <a:t>Mississauga, ON 
</a:t>
          </a:r>
          <a:r>
            <a:rPr lang="en-US" cap="none" sz="1200" b="0" i="0" u="none" baseline="0">
              <a:solidFill>
                <a:srgbClr val="000000"/>
              </a:solidFill>
              <a:latin typeface="Arial"/>
              <a:ea typeface="Arial"/>
              <a:cs typeface="Arial"/>
            </a:rPr>
            <a:t>L4W 5N6 
</a:t>
          </a:r>
          <a:r>
            <a:rPr lang="en-US" cap="none" sz="1200" b="0" i="0" u="none" baseline="0">
              <a:solidFill>
                <a:srgbClr val="000000"/>
              </a:solidFill>
              <a:latin typeface="Arial"/>
              <a:ea typeface="Arial"/>
              <a:cs typeface="Arial"/>
            </a:rPr>
            <a:t>Tel:  416-747-4035 
</a:t>
          </a:r>
          <a:r>
            <a:rPr lang="en-US" cap="none" sz="1200" b="0" i="0" u="none" baseline="0">
              <a:solidFill>
                <a:srgbClr val="000000"/>
              </a:solidFill>
              <a:latin typeface="Arial"/>
              <a:ea typeface="Arial"/>
              <a:cs typeface="Arial"/>
            </a:rPr>
            <a:t>Direct Fax:  416-401-6807 
</a:t>
          </a:r>
          <a:r>
            <a:rPr lang="en-US" cap="none" sz="1200" b="0" i="0" u="none" baseline="0">
              <a:solidFill>
                <a:srgbClr val="000000"/>
              </a:solidFill>
              <a:latin typeface="Arial"/>
              <a:ea typeface="Arial"/>
              <a:cs typeface="Arial"/>
            </a:rPr>
            <a:t>E-mail:  tony.joseph@csa.ca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Spreadsheet created by: Rick Curkeet, PE, Intertek Testing Services, NA Inc.
</a:t>
          </a:r>
          <a:r>
            <a:rPr lang="en-US" cap="none" sz="1200" b="0" i="0" u="none" baseline="0">
              <a:solidFill>
                <a:srgbClr val="000000"/>
              </a:solidFill>
              <a:latin typeface="Arial"/>
              <a:ea typeface="Arial"/>
              <a:cs typeface="Arial"/>
            </a:rPr>
            <a:t>Version 2.2   14 December 2009</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1047750</xdr:colOff>
      <xdr:row>11</xdr:row>
      <xdr:rowOff>114300</xdr:rowOff>
    </xdr:from>
    <xdr:to>
      <xdr:col>12</xdr:col>
      <xdr:colOff>657225</xdr:colOff>
      <xdr:row>14</xdr:row>
      <xdr:rowOff>190500</xdr:rowOff>
    </xdr:to>
    <xdr:sp>
      <xdr:nvSpPr>
        <xdr:cNvPr id="1" name="Text Box 1"/>
        <xdr:cNvSpPr txBox="1">
          <a:spLocks noChangeArrowheads="1"/>
        </xdr:cNvSpPr>
      </xdr:nvSpPr>
      <xdr:spPr>
        <a:xfrm>
          <a:off x="7429500" y="2314575"/>
          <a:ext cx="3524250" cy="6762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Note 1:  For other fuels, use the heating value and fuel composition determined by analysis of fuel sample in accordance with Clause 9.2.</a:t>
          </a:r>
        </a:p>
      </xdr:txBody>
    </xdr:sp>
    <xdr:clientData/>
  </xdr:twoCellAnchor>
  <xdr:twoCellAnchor>
    <xdr:from>
      <xdr:col>7</xdr:col>
      <xdr:colOff>1047750</xdr:colOff>
      <xdr:row>16</xdr:row>
      <xdr:rowOff>76200</xdr:rowOff>
    </xdr:from>
    <xdr:to>
      <xdr:col>12</xdr:col>
      <xdr:colOff>676275</xdr:colOff>
      <xdr:row>22</xdr:row>
      <xdr:rowOff>161925</xdr:rowOff>
    </xdr:to>
    <xdr:sp>
      <xdr:nvSpPr>
        <xdr:cNvPr id="2" name="Text Box 2"/>
        <xdr:cNvSpPr txBox="1">
          <a:spLocks noChangeArrowheads="1"/>
        </xdr:cNvSpPr>
      </xdr:nvSpPr>
      <xdr:spPr>
        <a:xfrm>
          <a:off x="7429500" y="3276600"/>
          <a:ext cx="3543300" cy="1323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Note 2:  In cases where the "Fuel Weight Remaining" is the same for three or more readings in a row, a "divide by zero error" will occur in the calculation sheet.  In such cases, adjust the weight values by interpolation between the first occurence and the next reading showing a decrease in weight.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28575</xdr:rowOff>
    </xdr:from>
    <xdr:to>
      <xdr:col>8</xdr:col>
      <xdr:colOff>428625</xdr:colOff>
      <xdr:row>7</xdr:row>
      <xdr:rowOff>38100</xdr:rowOff>
    </xdr:to>
    <xdr:sp>
      <xdr:nvSpPr>
        <xdr:cNvPr id="1" name="Text Box 2955"/>
        <xdr:cNvSpPr txBox="1">
          <a:spLocks noChangeArrowheads="1"/>
        </xdr:cNvSpPr>
      </xdr:nvSpPr>
      <xdr:spPr>
        <a:xfrm>
          <a:off x="4962525" y="676275"/>
          <a:ext cx="3810000" cy="8667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Note: In the “Input data”, "Calc. % O</a:t>
          </a:r>
          <a:r>
            <a:rPr lang="en-US" cap="none" sz="1200" b="0" i="0" u="none" baseline="-25000">
              <a:solidFill>
                <a:srgbClr val="000000"/>
              </a:solidFill>
              <a:latin typeface="Arial"/>
              <a:ea typeface="Arial"/>
              <a:cs typeface="Arial"/>
            </a:rPr>
            <a:t>2</a:t>
          </a:r>
          <a:r>
            <a:rPr lang="en-US" cap="none" sz="1200" b="0" i="0" u="none" baseline="0">
              <a:solidFill>
                <a:srgbClr val="000000"/>
              </a:solidFill>
              <a:latin typeface="Arial"/>
              <a:ea typeface="Arial"/>
              <a:cs typeface="Arial"/>
            </a:rPr>
            <a:t>", "Fuel Properties", and “Mass Balance” columns, [e], [d], [g], [a]. [b], [c], [h], [u], [w], [j], and [k] refer to their respective variables in Clauses 13.7.3 to 13.7.5.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200025</xdr:colOff>
      <xdr:row>24</xdr:row>
      <xdr:rowOff>76200</xdr:rowOff>
    </xdr:to>
    <xdr:graphicFrame>
      <xdr:nvGraphicFramePr>
        <xdr:cNvPr id="1" name="Chart 1"/>
        <xdr:cNvGraphicFramePr/>
      </xdr:nvGraphicFramePr>
      <xdr:xfrm>
        <a:off x="0" y="0"/>
        <a:ext cx="8372475" cy="4648200"/>
      </xdr:xfrm>
      <a:graphic>
        <a:graphicData uri="http://schemas.openxmlformats.org/drawingml/2006/chart">
          <c:chart xmlns:c="http://schemas.openxmlformats.org/drawingml/2006/chart" r:id="rId1"/>
        </a:graphicData>
      </a:graphic>
    </xdr:graphicFrame>
    <xdr:clientData/>
  </xdr:twoCellAnchor>
  <xdr:twoCellAnchor>
    <xdr:from>
      <xdr:col>11</xdr:col>
      <xdr:colOff>609600</xdr:colOff>
      <xdr:row>10</xdr:row>
      <xdr:rowOff>123825</xdr:rowOff>
    </xdr:from>
    <xdr:to>
      <xdr:col>15</xdr:col>
      <xdr:colOff>190500</xdr:colOff>
      <xdr:row>14</xdr:row>
      <xdr:rowOff>104775</xdr:rowOff>
    </xdr:to>
    <xdr:sp>
      <xdr:nvSpPr>
        <xdr:cNvPr id="2" name="Text Box 7"/>
        <xdr:cNvSpPr txBox="1">
          <a:spLocks noChangeArrowheads="1"/>
        </xdr:cNvSpPr>
      </xdr:nvSpPr>
      <xdr:spPr>
        <a:xfrm>
          <a:off x="8782050" y="2028825"/>
          <a:ext cx="2552700" cy="7429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Arial"/>
              <a:ea typeface="Arial"/>
              <a:cs typeface="Arial"/>
            </a:rPr>
            <a:t>Note:  In the legend, [d], [e], [g], and [k] refer to their respective variables in Clauses 13.7.3 and 13.7.5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N35" sqref="N35"/>
    </sheetView>
  </sheetViews>
  <sheetFormatPr defaultColWidth="8.6640625" defaultRowHeight="15"/>
  <sheetData/>
  <sheetProtection/>
  <printOptions/>
  <pageMargins left="0.75" right="0.75" top="1" bottom="1" header="0.5" footer="0.5"/>
  <pageSetup fitToHeight="1" fitToWidth="1" horizontalDpi="300" verticalDpi="300" orientation="portrait" scale="84"/>
  <drawing r:id="rId1"/>
</worksheet>
</file>

<file path=xl/worksheets/sheet2.xml><?xml version="1.0" encoding="utf-8"?>
<worksheet xmlns="http://schemas.openxmlformats.org/spreadsheetml/2006/main" xmlns:r="http://schemas.openxmlformats.org/officeDocument/2006/relationships">
  <sheetPr>
    <pageSetUpPr fitToPage="1"/>
  </sheetPr>
  <dimension ref="A1:S1000"/>
  <sheetViews>
    <sheetView zoomScale="75" zoomScaleNormal="75" workbookViewId="0" topLeftCell="A211">
      <selection activeCell="I233" sqref="I233"/>
    </sheetView>
  </sheetViews>
  <sheetFormatPr defaultColWidth="8.6640625" defaultRowHeight="15"/>
  <cols>
    <col min="1" max="1" width="14.99609375" style="0" customWidth="1"/>
    <col min="2" max="2" width="15.10546875" style="0" customWidth="1"/>
    <col min="3" max="3" width="8.99609375" style="0" customWidth="1"/>
    <col min="4" max="4" width="10.10546875" style="0" customWidth="1"/>
    <col min="5" max="5" width="8.99609375" style="0" customWidth="1"/>
    <col min="6" max="6" width="8.3359375" style="0" customWidth="1"/>
    <col min="7" max="7" width="7.88671875" style="0" customWidth="1"/>
    <col min="8" max="8" width="12.3359375" style="0" customWidth="1"/>
    <col min="9" max="9" width="9.88671875" style="0" customWidth="1"/>
    <col min="10" max="10" width="7.6640625" style="0" customWidth="1"/>
    <col min="11" max="12" width="7.88671875" style="0" customWidth="1"/>
    <col min="13" max="13" width="8.3359375" style="0" customWidth="1"/>
    <col min="14" max="14" width="7.6640625" style="0" customWidth="1"/>
    <col min="15" max="15" width="9.3359375" style="0" customWidth="1"/>
    <col min="16" max="16" width="9.88671875" style="0" customWidth="1"/>
    <col min="17" max="19" width="8.10546875" style="0" customWidth="1"/>
    <col min="20" max="20" width="8.88671875" style="0" customWidth="1"/>
    <col min="21" max="21" width="9.10546875" style="0" customWidth="1"/>
    <col min="22" max="22" width="8.10546875" style="0" customWidth="1"/>
    <col min="23" max="23" width="9.10546875" style="0" customWidth="1"/>
    <col min="24" max="24" width="7.88671875" style="0" customWidth="1"/>
    <col min="25" max="25" width="8.4453125" style="0" customWidth="1"/>
    <col min="26" max="26" width="7.88671875" style="0" customWidth="1"/>
    <col min="27" max="27" width="8.6640625" style="0" customWidth="1"/>
    <col min="28" max="28" width="7.99609375" style="0" customWidth="1"/>
    <col min="29" max="29" width="9.10546875" style="0" customWidth="1"/>
    <col min="30" max="31" width="8.6640625" style="0" customWidth="1"/>
    <col min="32" max="32" width="7.4453125" style="0" bestFit="1" customWidth="1"/>
    <col min="33" max="36" width="8.6640625" style="0" customWidth="1"/>
    <col min="37" max="37" width="8.99609375" style="0" bestFit="1" customWidth="1"/>
    <col min="38" max="40" width="8.6640625" style="0" customWidth="1"/>
    <col min="41" max="41" width="8.99609375" style="0" customWidth="1"/>
    <col min="42" max="42" width="7.99609375" style="0" customWidth="1"/>
    <col min="43" max="43" width="8.6640625" style="0" customWidth="1"/>
    <col min="44" max="44" width="9.4453125" style="0" customWidth="1"/>
    <col min="45" max="45" width="8.6640625" style="0" customWidth="1"/>
    <col min="46" max="46" width="12.10546875" style="0" customWidth="1"/>
    <col min="47" max="47" width="10.4453125" style="0" customWidth="1"/>
    <col min="48" max="48" width="8.99609375" style="0" customWidth="1"/>
    <col min="49" max="49" width="8.4453125" style="0" customWidth="1"/>
    <col min="50" max="55" width="8.6640625" style="0" customWidth="1"/>
    <col min="56" max="56" width="11.4453125" style="0" customWidth="1"/>
    <col min="57" max="57" width="11.3359375" style="0" customWidth="1"/>
    <col min="58" max="61" width="8.6640625" style="0" customWidth="1"/>
    <col min="62" max="62" width="12.4453125" style="0" customWidth="1"/>
    <col min="63" max="63" width="9.6640625" style="0" customWidth="1"/>
    <col min="64" max="64" width="8.4453125" style="0" customWidth="1"/>
    <col min="65" max="65" width="8.99609375" style="0" customWidth="1"/>
    <col min="66" max="66" width="9.3359375" style="0" customWidth="1"/>
    <col min="67" max="67" width="10.10546875" style="0" customWidth="1"/>
    <col min="68" max="68" width="9.4453125" style="0" customWidth="1"/>
  </cols>
  <sheetData>
    <row r="1" spans="1:15" ht="15.75">
      <c r="A1" s="65" t="s">
        <v>76</v>
      </c>
      <c r="B1" s="153">
        <v>2.2</v>
      </c>
      <c r="C1" s="64">
        <v>40161</v>
      </c>
      <c r="O1" t="s">
        <v>135</v>
      </c>
    </row>
    <row r="2" spans="1:7" ht="15.75">
      <c r="A2" s="12" t="s">
        <v>44</v>
      </c>
      <c r="B2" s="40" t="s">
        <v>205</v>
      </c>
      <c r="E2" s="12" t="s">
        <v>113</v>
      </c>
      <c r="F2" s="40" t="s">
        <v>204</v>
      </c>
      <c r="G2" t="s">
        <v>114</v>
      </c>
    </row>
    <row r="3" spans="1:2" ht="15.75">
      <c r="A3" s="12" t="s">
        <v>45</v>
      </c>
      <c r="B3" s="40" t="s">
        <v>206</v>
      </c>
    </row>
    <row r="4" spans="1:10" ht="15.75">
      <c r="A4" s="12" t="s">
        <v>46</v>
      </c>
      <c r="B4" s="42">
        <v>41487</v>
      </c>
      <c r="E4" s="12" t="s">
        <v>126</v>
      </c>
      <c r="F4" s="181" t="s">
        <v>202</v>
      </c>
      <c r="G4" t="s">
        <v>129</v>
      </c>
      <c r="H4" s="205" t="s">
        <v>68</v>
      </c>
      <c r="I4" s="205"/>
      <c r="J4" s="205"/>
    </row>
    <row r="5" spans="1:10" ht="15.75">
      <c r="A5" s="12" t="s">
        <v>47</v>
      </c>
      <c r="B5" s="40">
        <v>6</v>
      </c>
      <c r="E5" s="12" t="s">
        <v>127</v>
      </c>
      <c r="F5" s="181" t="s">
        <v>203</v>
      </c>
      <c r="G5" t="s">
        <v>128</v>
      </c>
      <c r="I5" s="38" t="s">
        <v>69</v>
      </c>
      <c r="J5" s="38" t="s">
        <v>70</v>
      </c>
    </row>
    <row r="6" spans="1:10" ht="15.75">
      <c r="A6" s="12" t="s">
        <v>48</v>
      </c>
      <c r="B6" s="40" t="s">
        <v>207</v>
      </c>
      <c r="H6" s="12" t="s">
        <v>71</v>
      </c>
      <c r="I6" s="49">
        <v>19810</v>
      </c>
      <c r="J6" s="49">
        <v>19887</v>
      </c>
    </row>
    <row r="7" spans="1:10" ht="15.75">
      <c r="A7" s="12" t="s">
        <v>49</v>
      </c>
      <c r="B7" s="11">
        <f>MAX(A20:A1800)</f>
        <v>202</v>
      </c>
      <c r="H7" s="12" t="s">
        <v>57</v>
      </c>
      <c r="I7" s="47">
        <v>48.73</v>
      </c>
      <c r="J7" s="47">
        <v>50</v>
      </c>
    </row>
    <row r="8" spans="1:10" ht="15.75">
      <c r="A8" s="12" t="s">
        <v>50</v>
      </c>
      <c r="B8" s="40">
        <v>4</v>
      </c>
      <c r="E8" s="205" t="s">
        <v>56</v>
      </c>
      <c r="F8" s="205"/>
      <c r="H8" s="12" t="s">
        <v>58</v>
      </c>
      <c r="I8" s="47">
        <v>6.87</v>
      </c>
      <c r="J8" s="47">
        <v>6.6</v>
      </c>
    </row>
    <row r="9" spans="6:10" ht="15.75">
      <c r="F9" s="38" t="s">
        <v>69</v>
      </c>
      <c r="H9" s="12" t="s">
        <v>59</v>
      </c>
      <c r="I9" s="47">
        <v>43.9</v>
      </c>
      <c r="J9" s="47">
        <f>100-J7-J8-J10</f>
        <v>42.9</v>
      </c>
    </row>
    <row r="10" spans="2:10" ht="15.75">
      <c r="B10" s="12" t="s">
        <v>184</v>
      </c>
      <c r="C10" s="36">
        <v>19.17</v>
      </c>
      <c r="E10" s="12" t="s">
        <v>51</v>
      </c>
      <c r="F10" s="204">
        <v>19887</v>
      </c>
      <c r="G10" t="s">
        <v>200</v>
      </c>
      <c r="H10" s="12" t="s">
        <v>134</v>
      </c>
      <c r="I10" s="47">
        <v>0.5</v>
      </c>
      <c r="J10" s="47">
        <v>0.5</v>
      </c>
    </row>
    <row r="11" spans="2:6" ht="15.75">
      <c r="B11" s="12" t="s">
        <v>185</v>
      </c>
      <c r="C11" s="71">
        <f>B20</f>
        <v>258.04</v>
      </c>
      <c r="E11" s="12" t="s">
        <v>57</v>
      </c>
      <c r="F11" s="181">
        <v>50</v>
      </c>
    </row>
    <row r="12" spans="2:10" ht="15.75">
      <c r="B12" s="12" t="s">
        <v>186</v>
      </c>
      <c r="C12" s="71">
        <f>60*$C$11*(1-0.01*$C$10)/($B$7*2.2046)</f>
        <v>28.101512139783335</v>
      </c>
      <c r="E12" s="12" t="s">
        <v>58</v>
      </c>
      <c r="F12" s="181">
        <v>6.6</v>
      </c>
      <c r="H12" s="12"/>
      <c r="I12" s="72"/>
      <c r="J12" s="72"/>
    </row>
    <row r="13" spans="2:6" ht="15.75">
      <c r="B13" s="12" t="s">
        <v>187</v>
      </c>
      <c r="C13" s="37">
        <v>42.306</v>
      </c>
      <c r="D13" t="s">
        <v>133</v>
      </c>
      <c r="E13" s="12" t="s">
        <v>59</v>
      </c>
      <c r="F13" s="70">
        <f>IF(F11&gt;0,100-F11-F12-F14,"")</f>
        <v>42.9</v>
      </c>
    </row>
    <row r="14" spans="5:11" ht="15.75">
      <c r="E14" s="12" t="s">
        <v>134</v>
      </c>
      <c r="F14" s="37">
        <v>0.5</v>
      </c>
      <c r="I14" s="205"/>
      <c r="J14" s="205"/>
      <c r="K14" s="205"/>
    </row>
    <row r="15" ht="15.75">
      <c r="S15" t="s">
        <v>1</v>
      </c>
    </row>
    <row r="16" spans="1:11" ht="15.75">
      <c r="A16" s="38"/>
      <c r="B16" s="38" t="s">
        <v>53</v>
      </c>
      <c r="C16" s="39">
        <f>AVERAGE(C20:C1000)</f>
        <v>0.42664251641019596</v>
      </c>
      <c r="D16" s="39">
        <f>AVERAGE(D20:D1000)</f>
        <v>26.814715711843398</v>
      </c>
      <c r="E16" s="39">
        <f>AVERAGE(E20:E1000)</f>
        <v>10.575663845260422</v>
      </c>
      <c r="F16" s="39">
        <f>AVERAGE(F20:F1000)</f>
        <v>240.34843709045674</v>
      </c>
      <c r="G16" s="39">
        <f>AVERAGE(G20:G1000)</f>
        <v>79.98722003755115</v>
      </c>
      <c r="I16" s="39"/>
      <c r="J16" s="39"/>
      <c r="K16" s="39"/>
    </row>
    <row r="17" spans="1:7" ht="15.75">
      <c r="A17" s="38"/>
      <c r="B17" s="38"/>
      <c r="C17" s="38"/>
      <c r="D17" s="38"/>
      <c r="E17" s="38"/>
      <c r="F17" s="205" t="str">
        <f>CONCATENATE("Temp. (",O1,F4,")")</f>
        <v>Temp. (ºF)</v>
      </c>
      <c r="G17" s="205"/>
    </row>
    <row r="18" spans="1:9" ht="15.75">
      <c r="A18" s="38" t="s">
        <v>34</v>
      </c>
      <c r="B18" s="38" t="s">
        <v>125</v>
      </c>
      <c r="C18" s="205" t="s">
        <v>79</v>
      </c>
      <c r="D18" s="205"/>
      <c r="E18" s="205"/>
      <c r="F18" s="38" t="s">
        <v>35</v>
      </c>
      <c r="G18" s="38" t="s">
        <v>2</v>
      </c>
      <c r="I18" s="46"/>
    </row>
    <row r="19" spans="1:11" ht="18.75" thickBot="1">
      <c r="A19" s="38" t="s">
        <v>136</v>
      </c>
      <c r="B19" s="38" t="str">
        <f>CONCATENATE("Remaining (",F5,")")</f>
        <v>Remaining (lb)</v>
      </c>
      <c r="C19" s="38" t="s">
        <v>5</v>
      </c>
      <c r="D19" s="38" t="s">
        <v>54</v>
      </c>
      <c r="E19" s="38" t="s">
        <v>55</v>
      </c>
      <c r="F19" s="38" t="s">
        <v>36</v>
      </c>
      <c r="G19" s="38" t="s">
        <v>6</v>
      </c>
      <c r="I19" s="38"/>
      <c r="J19" s="38"/>
      <c r="K19" s="38"/>
    </row>
    <row r="20" spans="1:11" ht="15.75">
      <c r="A20" s="187">
        <v>0</v>
      </c>
      <c r="B20" s="188">
        <v>258.04</v>
      </c>
      <c r="C20" s="188">
        <v>6.980799198150635</v>
      </c>
      <c r="D20" s="188">
        <v>17.49610137939453</v>
      </c>
      <c r="E20" s="188">
        <v>24.410497665405273</v>
      </c>
      <c r="F20" s="189">
        <v>159.40281677246094</v>
      </c>
      <c r="G20" s="190">
        <v>82.57147979736328</v>
      </c>
      <c r="I20" s="45"/>
      <c r="J20" s="45"/>
      <c r="K20" s="45"/>
    </row>
    <row r="21" spans="1:11" ht="15.75">
      <c r="A21" s="191">
        <v>1</v>
      </c>
      <c r="B21" s="185">
        <v>255.7696075439453</v>
      </c>
      <c r="C21" s="185">
        <v>7.297422409057617</v>
      </c>
      <c r="D21" s="185">
        <v>19.160171508789062</v>
      </c>
      <c r="E21" s="185">
        <v>23.703859329223633</v>
      </c>
      <c r="F21" s="186">
        <v>147.45333862304688</v>
      </c>
      <c r="G21" s="192">
        <v>81.85707092285156</v>
      </c>
      <c r="I21" s="45"/>
      <c r="J21" s="45"/>
      <c r="K21" s="45"/>
    </row>
    <row r="22" spans="1:11" ht="15.75">
      <c r="A22" s="191">
        <v>2</v>
      </c>
      <c r="B22" s="185">
        <v>255.75975036621094</v>
      </c>
      <c r="C22" s="185">
        <v>1.9144656658172607</v>
      </c>
      <c r="D22" s="185">
        <v>6.643443584442139</v>
      </c>
      <c r="E22" s="185">
        <v>27.341510772705078</v>
      </c>
      <c r="F22" s="186">
        <v>139.7296905517578</v>
      </c>
      <c r="G22" s="192">
        <v>81.91108703613281</v>
      </c>
      <c r="I22" s="45"/>
      <c r="J22" s="45"/>
      <c r="K22" s="45"/>
    </row>
    <row r="23" spans="1:11" ht="15.75">
      <c r="A23" s="191">
        <v>3</v>
      </c>
      <c r="B23" s="185">
        <v>255.774169921875</v>
      </c>
      <c r="C23" s="185">
        <v>0.28405848145484924</v>
      </c>
      <c r="D23" s="185">
        <v>1.937319278717041</v>
      </c>
      <c r="E23" s="185">
        <v>27.341421127319336</v>
      </c>
      <c r="F23" s="186">
        <v>133.69769287109375</v>
      </c>
      <c r="G23" s="192">
        <v>81.85107421875</v>
      </c>
      <c r="I23" s="45"/>
      <c r="J23" s="45"/>
      <c r="K23" s="45"/>
    </row>
    <row r="24" spans="1:11" ht="15.75">
      <c r="A24" s="191">
        <v>4</v>
      </c>
      <c r="B24" s="185">
        <v>255.7901153564453</v>
      </c>
      <c r="C24" s="185">
        <v>0.09209742397069931</v>
      </c>
      <c r="D24" s="185">
        <v>1.091568946838379</v>
      </c>
      <c r="E24" s="185">
        <v>27.341205596923828</v>
      </c>
      <c r="F24" s="186">
        <v>155.24232482910156</v>
      </c>
      <c r="G24" s="192">
        <v>81.0647964477539</v>
      </c>
      <c r="I24" s="45"/>
      <c r="J24" s="45"/>
      <c r="K24" s="45"/>
    </row>
    <row r="25" spans="1:11" ht="15.75">
      <c r="A25" s="191">
        <v>5</v>
      </c>
      <c r="B25" s="185">
        <v>254.82106018066406</v>
      </c>
      <c r="C25" s="185">
        <v>0.0655435174703598</v>
      </c>
      <c r="D25" s="185">
        <v>0.8464818596839905</v>
      </c>
      <c r="E25" s="185">
        <v>27.341053009033203</v>
      </c>
      <c r="F25" s="186">
        <v>188.192138671875</v>
      </c>
      <c r="G25" s="192">
        <v>81.68161010742188</v>
      </c>
      <c r="I25" s="45"/>
      <c r="J25" s="45"/>
      <c r="K25" s="45"/>
    </row>
    <row r="26" spans="1:11" ht="15.75">
      <c r="A26" s="191">
        <v>6</v>
      </c>
      <c r="B26" s="185">
        <v>253.83154296875</v>
      </c>
      <c r="C26" s="185">
        <v>0.19330216944217682</v>
      </c>
      <c r="D26" s="185">
        <v>4.476490497589111</v>
      </c>
      <c r="E26" s="185">
        <v>27.34096336364746</v>
      </c>
      <c r="F26" s="186">
        <v>205.50140380859375</v>
      </c>
      <c r="G26" s="192">
        <v>80.72472381591797</v>
      </c>
      <c r="I26" s="45"/>
      <c r="J26" s="45"/>
      <c r="K26" s="45"/>
    </row>
    <row r="27" spans="1:11" ht="15.75">
      <c r="A27" s="191">
        <v>7</v>
      </c>
      <c r="B27" s="185">
        <v>251.85325622558594</v>
      </c>
      <c r="C27" s="185">
        <v>0.297579288482666</v>
      </c>
      <c r="D27" s="185">
        <v>23.076627731323242</v>
      </c>
      <c r="E27" s="185">
        <v>25.615570068359375</v>
      </c>
      <c r="F27" s="186">
        <v>214.05992126464844</v>
      </c>
      <c r="G27" s="192">
        <v>81.36627197265625</v>
      </c>
      <c r="I27" s="45"/>
      <c r="J27" s="45"/>
      <c r="K27" s="45"/>
    </row>
    <row r="28" spans="1:11" ht="15.75">
      <c r="A28" s="191">
        <v>8</v>
      </c>
      <c r="B28" s="185">
        <v>250.8720703125</v>
      </c>
      <c r="C28" s="185">
        <v>1.427010178565979</v>
      </c>
      <c r="D28" s="185">
        <v>27.441715240478516</v>
      </c>
      <c r="E28" s="185">
        <v>8.939310073852539</v>
      </c>
      <c r="F28" s="186">
        <v>220.01022338867188</v>
      </c>
      <c r="G28" s="192">
        <v>81.37921142578125</v>
      </c>
      <c r="I28" s="45"/>
      <c r="J28" s="45"/>
      <c r="K28" s="45"/>
    </row>
    <row r="29" spans="1:11" ht="15.75">
      <c r="A29" s="191">
        <v>9</v>
      </c>
      <c r="B29" s="185">
        <v>249.76266479492188</v>
      </c>
      <c r="C29" s="185">
        <v>2.3224668502807617</v>
      </c>
      <c r="D29" s="185">
        <v>27.441898345947266</v>
      </c>
      <c r="E29" s="185">
        <v>5.06379508972168</v>
      </c>
      <c r="F29" s="186">
        <v>225.47523498535156</v>
      </c>
      <c r="G29" s="192">
        <v>80.58546447753906</v>
      </c>
      <c r="I29" s="45"/>
      <c r="J29" s="45"/>
      <c r="K29" s="45"/>
    </row>
    <row r="30" spans="1:11" ht="15.75">
      <c r="A30" s="191">
        <v>10</v>
      </c>
      <c r="B30" s="185">
        <v>248.79591369628906</v>
      </c>
      <c r="C30" s="185">
        <v>2.4133450984954834</v>
      </c>
      <c r="D30" s="185">
        <v>27.44168472290039</v>
      </c>
      <c r="E30" s="185">
        <v>4.413755416870117</v>
      </c>
      <c r="F30" s="186">
        <v>230.15586853027344</v>
      </c>
      <c r="G30" s="192">
        <v>80.95642852783203</v>
      </c>
      <c r="I30" s="45"/>
      <c r="J30" s="45"/>
      <c r="K30" s="45"/>
    </row>
    <row r="31" spans="1:11" ht="15.75">
      <c r="A31" s="191">
        <v>11</v>
      </c>
      <c r="B31" s="185">
        <v>246.89501953125</v>
      </c>
      <c r="C31" s="185">
        <v>2.0590126514434814</v>
      </c>
      <c r="D31" s="185">
        <v>27.44211196899414</v>
      </c>
      <c r="E31" s="185">
        <v>4.62778377532959</v>
      </c>
      <c r="F31" s="186">
        <v>232.00531005859375</v>
      </c>
      <c r="G31" s="192">
        <v>80.48616027832031</v>
      </c>
      <c r="I31" s="45"/>
      <c r="J31" s="45"/>
      <c r="K31" s="45"/>
    </row>
    <row r="32" spans="1:11" ht="15.75">
      <c r="A32" s="191">
        <v>12</v>
      </c>
      <c r="B32" s="185">
        <v>245.9115753173828</v>
      </c>
      <c r="C32" s="185">
        <v>1.2247956991195679</v>
      </c>
      <c r="D32" s="185">
        <v>27.441654205322266</v>
      </c>
      <c r="E32" s="185">
        <v>5.310009002685547</v>
      </c>
      <c r="F32" s="186">
        <v>234.4505615234375</v>
      </c>
      <c r="G32" s="192">
        <v>80.98786926269531</v>
      </c>
      <c r="I32" s="45"/>
      <c r="J32" s="45"/>
      <c r="K32" s="45"/>
    </row>
    <row r="33" spans="1:11" ht="15.75">
      <c r="A33" s="191">
        <v>13</v>
      </c>
      <c r="B33" s="185">
        <v>244.90989685058594</v>
      </c>
      <c r="C33" s="185">
        <v>0.7974583506584167</v>
      </c>
      <c r="D33" s="185">
        <v>27.441776275634766</v>
      </c>
      <c r="E33" s="185">
        <v>6.237809181213379</v>
      </c>
      <c r="F33" s="186">
        <v>235.90635681152344</v>
      </c>
      <c r="G33" s="192">
        <v>80.0671615600586</v>
      </c>
      <c r="I33" s="45"/>
      <c r="J33" s="45"/>
      <c r="K33" s="45"/>
    </row>
    <row r="34" spans="1:11" ht="15.75">
      <c r="A34" s="191">
        <v>14</v>
      </c>
      <c r="B34" s="185">
        <v>243.78150939941406</v>
      </c>
      <c r="C34" s="185">
        <v>0.5429163575172424</v>
      </c>
      <c r="D34" s="185">
        <v>27.44168472290039</v>
      </c>
      <c r="E34" s="185">
        <v>7.616189956665039</v>
      </c>
      <c r="F34" s="186">
        <v>237.04742431640625</v>
      </c>
      <c r="G34" s="192">
        <v>79.83184814453125</v>
      </c>
      <c r="I34" s="45"/>
      <c r="J34" s="45"/>
      <c r="K34" s="45"/>
    </row>
    <row r="35" spans="1:11" ht="15.75">
      <c r="A35" s="191">
        <v>15</v>
      </c>
      <c r="B35" s="185">
        <v>241.8533172607422</v>
      </c>
      <c r="C35" s="185">
        <v>0.47870177030563354</v>
      </c>
      <c r="D35" s="185">
        <v>27.441776275634766</v>
      </c>
      <c r="E35" s="185">
        <v>8.998228073120117</v>
      </c>
      <c r="F35" s="186">
        <v>238.1880645751953</v>
      </c>
      <c r="G35" s="192">
        <v>80.18858337402344</v>
      </c>
      <c r="I35" s="45"/>
      <c r="J35" s="45"/>
      <c r="K35" s="45"/>
    </row>
    <row r="36" spans="1:11" ht="15.75">
      <c r="A36" s="191">
        <v>16</v>
      </c>
      <c r="B36" s="185">
        <v>240.87289428710938</v>
      </c>
      <c r="C36" s="185">
        <v>0.48267632722854614</v>
      </c>
      <c r="D36" s="185">
        <v>27.44174575805664</v>
      </c>
      <c r="E36" s="185">
        <v>9.801823616027832</v>
      </c>
      <c r="F36" s="186">
        <v>239.37417602539062</v>
      </c>
      <c r="G36" s="192">
        <v>80.36067199707031</v>
      </c>
      <c r="I36" s="45"/>
      <c r="J36" s="45"/>
      <c r="K36" s="45"/>
    </row>
    <row r="37" spans="1:11" ht="15.75">
      <c r="A37" s="191">
        <v>17</v>
      </c>
      <c r="B37" s="185">
        <v>239.9152374267578</v>
      </c>
      <c r="C37" s="185">
        <v>0.5034634470939636</v>
      </c>
      <c r="D37" s="185">
        <v>27.44168472290039</v>
      </c>
      <c r="E37" s="185">
        <v>9.841691017150879</v>
      </c>
      <c r="F37" s="186">
        <v>239.7755126953125</v>
      </c>
      <c r="G37" s="192">
        <v>80.58550262451172</v>
      </c>
      <c r="I37" s="45"/>
      <c r="J37" s="45"/>
      <c r="K37" s="45"/>
    </row>
    <row r="38" spans="1:11" ht="15.75">
      <c r="A38" s="191">
        <v>18</v>
      </c>
      <c r="B38" s="185">
        <v>237.73814392089844</v>
      </c>
      <c r="C38" s="185">
        <v>0.5216537714004517</v>
      </c>
      <c r="D38" s="185">
        <v>27.441898345947266</v>
      </c>
      <c r="E38" s="185">
        <v>10.015759468078613</v>
      </c>
      <c r="F38" s="186">
        <v>239.8722381591797</v>
      </c>
      <c r="G38" s="192">
        <v>80.57618713378906</v>
      </c>
      <c r="I38" s="45"/>
      <c r="J38" s="45"/>
      <c r="K38" s="45"/>
    </row>
    <row r="39" spans="1:11" ht="15.75">
      <c r="A39" s="191">
        <v>19</v>
      </c>
      <c r="B39" s="185">
        <v>236.7554473876953</v>
      </c>
      <c r="C39" s="185">
        <v>0.6344529390335083</v>
      </c>
      <c r="D39" s="185">
        <v>27.44168472290039</v>
      </c>
      <c r="E39" s="185">
        <v>9.894390106201172</v>
      </c>
      <c r="F39" s="186">
        <v>240.53233337402344</v>
      </c>
      <c r="G39" s="192">
        <v>80.27711486816406</v>
      </c>
      <c r="I39" s="45"/>
      <c r="J39" s="45"/>
      <c r="K39" s="45"/>
    </row>
    <row r="40" spans="1:11" ht="15.75">
      <c r="A40" s="191">
        <v>20</v>
      </c>
      <c r="B40" s="185">
        <v>234.81434631347656</v>
      </c>
      <c r="C40" s="185">
        <v>0.7782073616981506</v>
      </c>
      <c r="D40" s="185">
        <v>27.441837310791016</v>
      </c>
      <c r="E40" s="185">
        <v>10.304859161376953</v>
      </c>
      <c r="F40" s="186">
        <v>241.53929138183594</v>
      </c>
      <c r="G40" s="192">
        <v>79.9813232421875</v>
      </c>
      <c r="I40" s="45"/>
      <c r="J40" s="45"/>
      <c r="K40" s="45"/>
    </row>
    <row r="41" spans="1:11" ht="15.75">
      <c r="A41" s="191">
        <v>21</v>
      </c>
      <c r="B41" s="185">
        <v>233.86656188964844</v>
      </c>
      <c r="C41" s="185">
        <v>0.7781951427459717</v>
      </c>
      <c r="D41" s="185">
        <v>27.441776275634766</v>
      </c>
      <c r="E41" s="185">
        <v>10.156301498413086</v>
      </c>
      <c r="F41" s="186">
        <v>242.9307098388672</v>
      </c>
      <c r="G41" s="192">
        <v>80.04093933105469</v>
      </c>
      <c r="I41" s="45"/>
      <c r="J41" s="45"/>
      <c r="K41" s="45"/>
    </row>
    <row r="42" spans="1:11" ht="15.75">
      <c r="A42" s="191">
        <v>22</v>
      </c>
      <c r="B42" s="185">
        <v>231.7000732421875</v>
      </c>
      <c r="C42" s="185">
        <v>0.7542747259140015</v>
      </c>
      <c r="D42" s="185">
        <v>27.44186782836914</v>
      </c>
      <c r="E42" s="185">
        <v>9.166353225708008</v>
      </c>
      <c r="F42" s="186">
        <v>242.67208862304688</v>
      </c>
      <c r="G42" s="192">
        <v>79.61688995361328</v>
      </c>
      <c r="I42" s="45"/>
      <c r="J42" s="45"/>
      <c r="K42" s="45"/>
    </row>
    <row r="43" spans="1:11" ht="15.75">
      <c r="A43" s="191">
        <v>23</v>
      </c>
      <c r="B43" s="185">
        <v>229.77490234375</v>
      </c>
      <c r="C43" s="185">
        <v>0.6693704724311829</v>
      </c>
      <c r="D43" s="185">
        <v>27.441715240478516</v>
      </c>
      <c r="E43" s="185">
        <v>7.616219997406006</v>
      </c>
      <c r="F43" s="186">
        <v>241.5370635986328</v>
      </c>
      <c r="G43" s="192">
        <v>78.81092071533203</v>
      </c>
      <c r="I43" s="45"/>
      <c r="J43" s="45"/>
      <c r="K43" s="45"/>
    </row>
    <row r="44" spans="1:11" ht="15.75">
      <c r="A44" s="191">
        <v>24</v>
      </c>
      <c r="B44" s="185">
        <v>228.82559204101562</v>
      </c>
      <c r="C44" s="185">
        <v>0.7354626655578613</v>
      </c>
      <c r="D44" s="185">
        <v>27.441837310791016</v>
      </c>
      <c r="E44" s="185">
        <v>7.469765663146973</v>
      </c>
      <c r="F44" s="186">
        <v>241.8899688720703</v>
      </c>
      <c r="G44" s="192">
        <v>79.81075286865234</v>
      </c>
      <c r="I44" s="45"/>
      <c r="J44" s="45"/>
      <c r="K44" s="45"/>
    </row>
    <row r="45" spans="1:11" ht="15.75">
      <c r="A45" s="191">
        <v>25</v>
      </c>
      <c r="B45" s="185">
        <v>226.8450469970703</v>
      </c>
      <c r="C45" s="185">
        <v>0.9162193536758423</v>
      </c>
      <c r="D45" s="185">
        <v>27.44162368774414</v>
      </c>
      <c r="E45" s="185">
        <v>8.897767066955566</v>
      </c>
      <c r="F45" s="186">
        <v>242.59457397460938</v>
      </c>
      <c r="G45" s="192">
        <v>79.00601196289062</v>
      </c>
      <c r="I45" s="45"/>
      <c r="J45" s="45"/>
      <c r="K45" s="45"/>
    </row>
    <row r="46" spans="1:11" ht="15.75">
      <c r="A46" s="198">
        <v>26</v>
      </c>
      <c r="B46" s="199">
        <v>225.7325897216797</v>
      </c>
      <c r="C46" s="199">
        <v>1.122591257095337</v>
      </c>
      <c r="D46" s="199">
        <v>27.441776275634766</v>
      </c>
      <c r="E46" s="199">
        <v>10.450857162475586</v>
      </c>
      <c r="F46" s="200">
        <v>243.94891357421875</v>
      </c>
      <c r="G46" s="201">
        <v>79.17843627929688</v>
      </c>
      <c r="I46" s="45"/>
      <c r="J46" s="45"/>
      <c r="K46" s="45"/>
    </row>
    <row r="47" spans="1:11" ht="15.75">
      <c r="A47" s="198">
        <v>27</v>
      </c>
      <c r="B47" s="199">
        <v>223.79983520507812</v>
      </c>
      <c r="C47" s="199">
        <v>0.9516733288764954</v>
      </c>
      <c r="D47" s="199">
        <v>27.441654205322266</v>
      </c>
      <c r="E47" s="199">
        <v>9.25224494934082</v>
      </c>
      <c r="F47" s="200">
        <v>245.25360107421875</v>
      </c>
      <c r="G47" s="201">
        <v>78.9717788696289</v>
      </c>
      <c r="I47" s="45"/>
      <c r="J47" s="45"/>
      <c r="K47" s="45"/>
    </row>
    <row r="48" spans="1:11" ht="15.75">
      <c r="A48" s="198">
        <v>28</v>
      </c>
      <c r="B48" s="199">
        <v>221.84584045410156</v>
      </c>
      <c r="C48" s="199">
        <v>0.9117693305015564</v>
      </c>
      <c r="D48" s="199">
        <v>27.441715240478516</v>
      </c>
      <c r="E48" s="199">
        <v>7.089653968811035</v>
      </c>
      <c r="F48" s="200">
        <v>246.43499755859375</v>
      </c>
      <c r="G48" s="201">
        <v>79.11351776123047</v>
      </c>
      <c r="I48" s="45"/>
      <c r="J48" s="45"/>
      <c r="K48" s="45"/>
    </row>
    <row r="49" spans="1:11" ht="15.75">
      <c r="A49" s="198">
        <v>29</v>
      </c>
      <c r="B49" s="199">
        <v>219.7825469970703</v>
      </c>
      <c r="C49" s="199">
        <v>1.0561211109161377</v>
      </c>
      <c r="D49" s="199">
        <v>27.441654205322266</v>
      </c>
      <c r="E49" s="199">
        <v>5.630228519439697</v>
      </c>
      <c r="F49" s="200">
        <v>246.66770935058594</v>
      </c>
      <c r="G49" s="201">
        <v>79.09895324707031</v>
      </c>
      <c r="I49" s="45"/>
      <c r="J49" s="45"/>
      <c r="K49" s="45"/>
    </row>
    <row r="50" spans="1:11" ht="15.75">
      <c r="A50" s="198">
        <v>30</v>
      </c>
      <c r="B50" s="199">
        <v>218.78164672851562</v>
      </c>
      <c r="C50" s="199">
        <v>1.176198959350586</v>
      </c>
      <c r="D50" s="199">
        <v>27.441715240478516</v>
      </c>
      <c r="E50" s="199">
        <v>4.961413860321045</v>
      </c>
      <c r="F50" s="200">
        <v>246.6698760986328</v>
      </c>
      <c r="G50" s="201">
        <v>78.40304565429688</v>
      </c>
      <c r="I50" s="45"/>
      <c r="J50" s="45"/>
      <c r="K50" s="45"/>
    </row>
    <row r="51" spans="1:11" ht="15.75">
      <c r="A51" s="198">
        <v>31</v>
      </c>
      <c r="B51" s="199">
        <v>216.81019592285156</v>
      </c>
      <c r="C51" s="199">
        <v>1.064106822013855</v>
      </c>
      <c r="D51" s="199">
        <v>27.44162368774414</v>
      </c>
      <c r="E51" s="199">
        <v>5.388920783996582</v>
      </c>
      <c r="F51" s="200">
        <v>246.18203735351562</v>
      </c>
      <c r="G51" s="201">
        <v>79.33128356933594</v>
      </c>
      <c r="I51" s="45"/>
      <c r="J51" s="45"/>
      <c r="K51" s="45"/>
    </row>
    <row r="52" spans="1:11" ht="15.75">
      <c r="A52" s="198">
        <v>32</v>
      </c>
      <c r="B52" s="199">
        <v>214.9093017578125</v>
      </c>
      <c r="C52" s="199">
        <v>0.9117693305015564</v>
      </c>
      <c r="D52" s="199">
        <v>27.44162368774414</v>
      </c>
      <c r="E52" s="199">
        <v>6.19199800491333</v>
      </c>
      <c r="F52" s="200">
        <v>245.8306121826172</v>
      </c>
      <c r="G52" s="201">
        <v>79.32095336914062</v>
      </c>
      <c r="I52" s="45"/>
      <c r="J52" s="45"/>
      <c r="K52" s="45"/>
    </row>
    <row r="53" spans="1:11" ht="15.75">
      <c r="A53" s="198">
        <v>33</v>
      </c>
      <c r="B53" s="199">
        <v>213.72096252441406</v>
      </c>
      <c r="C53" s="199">
        <v>0.9490154981613159</v>
      </c>
      <c r="D53" s="199">
        <v>27.441654205322266</v>
      </c>
      <c r="E53" s="199">
        <v>7.381557464599609</v>
      </c>
      <c r="F53" s="200">
        <v>245.5852508544922</v>
      </c>
      <c r="G53" s="201">
        <v>79.53236389160156</v>
      </c>
      <c r="I53" s="45"/>
      <c r="J53" s="45"/>
      <c r="K53" s="45"/>
    </row>
    <row r="54" spans="1:11" ht="15.75">
      <c r="A54" s="198">
        <v>34</v>
      </c>
      <c r="B54" s="199">
        <v>211.76165771484375</v>
      </c>
      <c r="C54" s="199">
        <v>1.077176570892334</v>
      </c>
      <c r="D54" s="199">
        <v>27.441654205322266</v>
      </c>
      <c r="E54" s="199">
        <v>8.547038078308105</v>
      </c>
      <c r="F54" s="200">
        <v>244.51373291015625</v>
      </c>
      <c r="G54" s="201">
        <v>79.75800323486328</v>
      </c>
      <c r="I54" s="45"/>
      <c r="J54" s="45"/>
      <c r="K54" s="45"/>
    </row>
    <row r="55" spans="1:11" ht="15.75">
      <c r="A55" s="198">
        <v>35</v>
      </c>
      <c r="B55" s="199">
        <v>209.8683624267578</v>
      </c>
      <c r="C55" s="199">
        <v>1.0298963785171509</v>
      </c>
      <c r="D55" s="199">
        <v>27.441837310791016</v>
      </c>
      <c r="E55" s="199">
        <v>8.739028930664062</v>
      </c>
      <c r="F55" s="200">
        <v>244.81622314453125</v>
      </c>
      <c r="G55" s="201">
        <v>79.37583923339844</v>
      </c>
      <c r="I55" s="45"/>
      <c r="J55" s="45"/>
      <c r="K55" s="45"/>
    </row>
    <row r="56" spans="1:11" ht="15.75">
      <c r="A56" s="198">
        <v>36</v>
      </c>
      <c r="B56" s="199">
        <v>208.84848022460938</v>
      </c>
      <c r="C56" s="199">
        <v>0.9490033388137817</v>
      </c>
      <c r="D56" s="199">
        <v>27.44168472290039</v>
      </c>
      <c r="E56" s="199">
        <v>9.218442916870117</v>
      </c>
      <c r="F56" s="200">
        <v>244.9964599609375</v>
      </c>
      <c r="G56" s="201">
        <v>79.14083099365234</v>
      </c>
      <c r="I56" s="45"/>
      <c r="J56" s="45"/>
      <c r="K56" s="45"/>
    </row>
    <row r="57" spans="1:11" ht="15.75">
      <c r="A57" s="198">
        <v>37</v>
      </c>
      <c r="B57" s="199">
        <v>206.70704650878906</v>
      </c>
      <c r="C57" s="199">
        <v>0.7942153215408325</v>
      </c>
      <c r="D57" s="199">
        <v>27.441959381103516</v>
      </c>
      <c r="E57" s="199">
        <v>9.493947982788086</v>
      </c>
      <c r="F57" s="200">
        <v>245.466064453125</v>
      </c>
      <c r="G57" s="201">
        <v>79.23086547851562</v>
      </c>
      <c r="I57" s="45"/>
      <c r="J57" s="45"/>
      <c r="K57" s="45"/>
    </row>
    <row r="58" spans="1:11" ht="15.75">
      <c r="A58" s="198">
        <v>38</v>
      </c>
      <c r="B58" s="199">
        <v>204.81980895996094</v>
      </c>
      <c r="C58" s="199">
        <v>0.6637622117996216</v>
      </c>
      <c r="D58" s="199">
        <v>27.44174575805664</v>
      </c>
      <c r="E58" s="199">
        <v>8.837935447692871</v>
      </c>
      <c r="F58" s="200">
        <v>245.80548095703125</v>
      </c>
      <c r="G58" s="201">
        <v>78.91496276855469</v>
      </c>
      <c r="I58" s="45"/>
      <c r="J58" s="45"/>
      <c r="K58" s="45"/>
    </row>
    <row r="59" spans="1:11" ht="15.75">
      <c r="A59" s="198">
        <v>39</v>
      </c>
      <c r="B59" s="199">
        <v>203.80905151367188</v>
      </c>
      <c r="C59" s="199">
        <v>0.6286252737045288</v>
      </c>
      <c r="D59" s="199">
        <v>27.441959381103516</v>
      </c>
      <c r="E59" s="199">
        <v>9.031054496765137</v>
      </c>
      <c r="F59" s="200">
        <v>246.09417724609375</v>
      </c>
      <c r="G59" s="201">
        <v>79.21321105957031</v>
      </c>
      <c r="I59" s="45"/>
      <c r="J59" s="45"/>
      <c r="K59" s="45"/>
    </row>
    <row r="60" spans="1:11" ht="15.75">
      <c r="A60" s="198">
        <v>40</v>
      </c>
      <c r="B60" s="199">
        <v>201.7867431640625</v>
      </c>
      <c r="C60" s="199">
        <v>0.5917935967445374</v>
      </c>
      <c r="D60" s="199">
        <v>27.441654205322266</v>
      </c>
      <c r="E60" s="199">
        <v>8.858264923095703</v>
      </c>
      <c r="F60" s="200">
        <v>246.28404235839844</v>
      </c>
      <c r="G60" s="201">
        <v>80.15227508544922</v>
      </c>
      <c r="I60" s="45"/>
      <c r="J60" s="45"/>
      <c r="K60" s="45"/>
    </row>
    <row r="61" spans="1:11" ht="15.75">
      <c r="A61" s="198">
        <v>41</v>
      </c>
      <c r="B61" s="199">
        <v>200.27513122558594</v>
      </c>
      <c r="C61" s="199">
        <v>0.569726288318634</v>
      </c>
      <c r="D61" s="199">
        <v>27.441898345947266</v>
      </c>
      <c r="E61" s="199">
        <v>8.924954414367676</v>
      </c>
      <c r="F61" s="200">
        <v>246.6168212890625</v>
      </c>
      <c r="G61" s="201">
        <v>79.71553039550781</v>
      </c>
      <c r="I61" s="45"/>
      <c r="J61" s="45"/>
      <c r="K61" s="45"/>
    </row>
    <row r="62" spans="1:11" ht="15.75">
      <c r="A62" s="198">
        <v>42</v>
      </c>
      <c r="B62" s="199">
        <v>198.84323120117188</v>
      </c>
      <c r="C62" s="199">
        <v>0.5295053124427795</v>
      </c>
      <c r="D62" s="199">
        <v>27.441654205322266</v>
      </c>
      <c r="E62" s="199">
        <v>8.598578453063965</v>
      </c>
      <c r="F62" s="200">
        <v>247.2954864501953</v>
      </c>
      <c r="G62" s="201">
        <v>79.13935089111328</v>
      </c>
      <c r="I62" s="45"/>
      <c r="J62" s="45"/>
      <c r="K62" s="45"/>
    </row>
    <row r="63" spans="1:11" ht="15.75">
      <c r="A63" s="198">
        <v>43</v>
      </c>
      <c r="B63" s="199">
        <v>196.8990936279297</v>
      </c>
      <c r="C63" s="199">
        <v>0.513802170753479</v>
      </c>
      <c r="D63" s="199">
        <v>27.441837310791016</v>
      </c>
      <c r="E63" s="199">
        <v>8.547281265258789</v>
      </c>
      <c r="F63" s="200">
        <v>247.62066650390625</v>
      </c>
      <c r="G63" s="201">
        <v>78.937255859375</v>
      </c>
      <c r="I63" s="45"/>
      <c r="J63" s="45"/>
      <c r="K63" s="45"/>
    </row>
    <row r="64" spans="1:11" ht="15.75">
      <c r="A64" s="198">
        <v>44</v>
      </c>
      <c r="B64" s="199">
        <v>194.76902770996094</v>
      </c>
      <c r="C64" s="199">
        <v>0.4465274214744568</v>
      </c>
      <c r="D64" s="199">
        <v>27.44159507751465</v>
      </c>
      <c r="E64" s="199">
        <v>7.989382266998291</v>
      </c>
      <c r="F64" s="200">
        <v>247.92681884765625</v>
      </c>
      <c r="G64" s="201">
        <v>79.48511505126953</v>
      </c>
      <c r="I64" s="45"/>
      <c r="J64" s="45"/>
      <c r="K64" s="45"/>
    </row>
    <row r="65" spans="1:11" ht="15.75">
      <c r="A65" s="198">
        <v>45</v>
      </c>
      <c r="B65" s="199">
        <v>193.7491455078125</v>
      </c>
      <c r="C65" s="199">
        <v>0.3905179500579834</v>
      </c>
      <c r="D65" s="199">
        <v>27.441654205322266</v>
      </c>
      <c r="E65" s="199">
        <v>7.602291107177734</v>
      </c>
      <c r="F65" s="200">
        <v>248.3651885986328</v>
      </c>
      <c r="G65" s="201">
        <v>79.06526947021484</v>
      </c>
      <c r="I65" s="45"/>
      <c r="J65" s="45"/>
      <c r="K65" s="45"/>
    </row>
    <row r="66" spans="1:11" ht="15.75">
      <c r="A66" s="198">
        <v>46</v>
      </c>
      <c r="B66" s="199">
        <v>191.82550048828125</v>
      </c>
      <c r="C66" s="199">
        <v>0.39050576090812683</v>
      </c>
      <c r="D66" s="199">
        <v>27.44162368774414</v>
      </c>
      <c r="E66" s="199">
        <v>7.362142086029053</v>
      </c>
      <c r="F66" s="200">
        <v>248.41085815429688</v>
      </c>
      <c r="G66" s="201">
        <v>78.83525085449219</v>
      </c>
      <c r="I66" s="45"/>
      <c r="J66" s="45"/>
      <c r="K66" s="45"/>
    </row>
    <row r="67" spans="1:11" ht="15.75">
      <c r="A67" s="198">
        <v>47</v>
      </c>
      <c r="B67" s="199">
        <v>189.71441650390625</v>
      </c>
      <c r="C67" s="199">
        <v>0.449124276638031</v>
      </c>
      <c r="D67" s="199">
        <v>27.44159507751465</v>
      </c>
      <c r="E67" s="199">
        <v>7.062649250030518</v>
      </c>
      <c r="F67" s="200">
        <v>248.1307830810547</v>
      </c>
      <c r="G67" s="201">
        <v>79.56893920898438</v>
      </c>
      <c r="I67" s="45"/>
      <c r="J67" s="45"/>
      <c r="K67" s="45"/>
    </row>
    <row r="68" spans="1:11" ht="15.75">
      <c r="A68" s="198">
        <v>48</v>
      </c>
      <c r="B68" s="199">
        <v>188.73324584960938</v>
      </c>
      <c r="C68" s="199">
        <v>0.4332626461982727</v>
      </c>
      <c r="D68" s="199">
        <v>27.44159507751465</v>
      </c>
      <c r="E68" s="199">
        <v>6.687871932983398</v>
      </c>
      <c r="F68" s="200">
        <v>247.34561157226562</v>
      </c>
      <c r="G68" s="201">
        <v>79.74935150146484</v>
      </c>
      <c r="I68" s="45"/>
      <c r="J68" s="45"/>
      <c r="K68" s="45"/>
    </row>
    <row r="69" spans="1:11" ht="15.75">
      <c r="A69" s="198">
        <v>49</v>
      </c>
      <c r="B69" s="199">
        <v>186.7830352783203</v>
      </c>
      <c r="C69" s="202">
        <v>0.39591893553733826</v>
      </c>
      <c r="D69" s="202">
        <v>27.44162368774414</v>
      </c>
      <c r="E69" s="202">
        <v>7.449222087860107</v>
      </c>
      <c r="F69" s="202">
        <v>247.40640258789062</v>
      </c>
      <c r="G69" s="203">
        <v>79.52718353271484</v>
      </c>
      <c r="I69" s="45"/>
      <c r="J69" s="45"/>
      <c r="K69" s="45"/>
    </row>
    <row r="70" spans="1:11" ht="15.75">
      <c r="A70" s="198">
        <v>50</v>
      </c>
      <c r="B70" s="199">
        <v>184.79638671875</v>
      </c>
      <c r="C70" s="202">
        <v>0.3880551755428314</v>
      </c>
      <c r="D70" s="202">
        <v>27.441959381103516</v>
      </c>
      <c r="E70" s="202">
        <v>8.952874183654785</v>
      </c>
      <c r="F70" s="202">
        <v>248.40316772460938</v>
      </c>
      <c r="G70" s="203">
        <v>79.66060638427734</v>
      </c>
      <c r="I70" s="45"/>
      <c r="J70" s="45"/>
      <c r="K70" s="45"/>
    </row>
    <row r="71" spans="1:11" ht="15.75">
      <c r="A71" s="198">
        <v>51</v>
      </c>
      <c r="B71" s="199">
        <v>182.70884704589844</v>
      </c>
      <c r="C71" s="202">
        <v>0.40129554271698</v>
      </c>
      <c r="D71" s="202">
        <v>27.44156265258789</v>
      </c>
      <c r="E71" s="202">
        <v>8.804316520690918</v>
      </c>
      <c r="F71" s="202">
        <v>248.9866180419922</v>
      </c>
      <c r="G71" s="203">
        <v>79.58877563476562</v>
      </c>
      <c r="I71" s="45"/>
      <c r="J71" s="45"/>
      <c r="K71" s="45"/>
    </row>
    <row r="72" spans="1:11" ht="15.75">
      <c r="A72" s="198">
        <v>52</v>
      </c>
      <c r="B72" s="199">
        <v>181.76864624023438</v>
      </c>
      <c r="C72" s="202">
        <v>0.37496110796928406</v>
      </c>
      <c r="D72" s="202">
        <v>27.441959381103516</v>
      </c>
      <c r="E72" s="202">
        <v>8.050097465515137</v>
      </c>
      <c r="F72" s="202">
        <v>249.1559600830078</v>
      </c>
      <c r="G72" s="203">
        <v>79.74551391601562</v>
      </c>
      <c r="I72" s="45"/>
      <c r="J72" s="45"/>
      <c r="K72" s="45"/>
    </row>
    <row r="73" spans="1:11" ht="15.75">
      <c r="A73" s="198">
        <v>53</v>
      </c>
      <c r="B73" s="199">
        <v>179.7903594970703</v>
      </c>
      <c r="C73" s="202">
        <v>0.4039533734321594</v>
      </c>
      <c r="D73" s="202">
        <v>27.441532135009766</v>
      </c>
      <c r="E73" s="202">
        <v>7.302920341491699</v>
      </c>
      <c r="F73" s="202">
        <v>249.42652893066406</v>
      </c>
      <c r="G73" s="203">
        <v>79.70256805419922</v>
      </c>
      <c r="I73" s="45"/>
      <c r="J73" s="45"/>
      <c r="K73" s="45"/>
    </row>
    <row r="74" spans="1:11" ht="15.75">
      <c r="A74" s="198">
        <v>54</v>
      </c>
      <c r="B74" s="199">
        <v>177.7285919189453</v>
      </c>
      <c r="C74" s="202">
        <v>0.5321265459060669</v>
      </c>
      <c r="D74" s="202">
        <v>27.44174575805664</v>
      </c>
      <c r="E74" s="202">
        <v>7.2571702003479</v>
      </c>
      <c r="F74" s="202">
        <v>249.1884307861328</v>
      </c>
      <c r="G74" s="203">
        <v>79.9561996459961</v>
      </c>
      <c r="I74" s="45"/>
      <c r="J74" s="45"/>
      <c r="K74" s="45"/>
    </row>
    <row r="75" spans="1:11" ht="15.75">
      <c r="A75" s="198">
        <v>55</v>
      </c>
      <c r="B75" s="199">
        <v>176.78536987304688</v>
      </c>
      <c r="C75" s="202">
        <v>0.5065845847129822</v>
      </c>
      <c r="D75" s="202">
        <v>27.441654205322266</v>
      </c>
      <c r="E75" s="202">
        <v>6.909519195556641</v>
      </c>
      <c r="F75" s="202">
        <v>249.6300506591797</v>
      </c>
      <c r="G75" s="203">
        <v>79.48536682128906</v>
      </c>
      <c r="I75" s="45"/>
      <c r="J75" s="45"/>
      <c r="K75" s="45"/>
    </row>
    <row r="76" spans="1:11" ht="15.75">
      <c r="A76" s="198">
        <v>56</v>
      </c>
      <c r="B76" s="199">
        <v>174.75546264648438</v>
      </c>
      <c r="C76" s="202">
        <v>0.5065723657608032</v>
      </c>
      <c r="D76" s="202">
        <v>27.44168472290039</v>
      </c>
      <c r="E76" s="202">
        <v>6.936524391174316</v>
      </c>
      <c r="F76" s="202">
        <v>249.5727996826172</v>
      </c>
      <c r="G76" s="203">
        <v>79.07484436035156</v>
      </c>
      <c r="I76" s="45"/>
      <c r="J76" s="45"/>
      <c r="K76" s="45"/>
    </row>
    <row r="77" spans="1:11" ht="15.75">
      <c r="A77" s="198">
        <v>57</v>
      </c>
      <c r="B77" s="199">
        <v>172.64439392089844</v>
      </c>
      <c r="C77" s="202">
        <v>0.46012136340141296</v>
      </c>
      <c r="D77" s="202">
        <v>27.44162368774414</v>
      </c>
      <c r="E77" s="202">
        <v>7.082034111022949</v>
      </c>
      <c r="F77" s="202">
        <v>249.11375427246094</v>
      </c>
      <c r="G77" s="203">
        <v>79.77822875976562</v>
      </c>
      <c r="I77" s="45"/>
      <c r="J77" s="45"/>
      <c r="K77" s="45"/>
    </row>
    <row r="78" spans="1:11" ht="15.75">
      <c r="A78" s="198">
        <v>58</v>
      </c>
      <c r="B78" s="199">
        <v>171.6928253173828</v>
      </c>
      <c r="C78" s="202">
        <v>0.380179226398468</v>
      </c>
      <c r="D78" s="202">
        <v>27.44162368774414</v>
      </c>
      <c r="E78" s="202">
        <v>7.394359111785889</v>
      </c>
      <c r="F78" s="202">
        <v>248.73617553710938</v>
      </c>
      <c r="G78" s="203">
        <v>79.70726013183594</v>
      </c>
      <c r="I78" s="45"/>
      <c r="J78" s="45"/>
      <c r="K78" s="45"/>
    </row>
    <row r="79" spans="1:11" ht="15.75">
      <c r="A79" s="198">
        <v>59</v>
      </c>
      <c r="B79" s="199">
        <v>169.7061767578125</v>
      </c>
      <c r="C79" s="202">
        <v>0.31092938780784607</v>
      </c>
      <c r="D79" s="202">
        <v>27.441837310791016</v>
      </c>
      <c r="E79" s="202">
        <v>8.29649543762207</v>
      </c>
      <c r="F79" s="202">
        <v>248.77655029296875</v>
      </c>
      <c r="G79" s="203">
        <v>79.2995834350586</v>
      </c>
      <c r="I79" s="45"/>
      <c r="J79" s="45"/>
      <c r="K79" s="45"/>
    </row>
    <row r="80" spans="1:11" ht="15.75">
      <c r="A80" s="198">
        <v>60</v>
      </c>
      <c r="B80" s="199">
        <v>167.78329467773438</v>
      </c>
      <c r="C80" s="202">
        <v>0.2549199163913727</v>
      </c>
      <c r="D80" s="202">
        <v>27.44159507751465</v>
      </c>
      <c r="E80" s="202">
        <v>8.790996551513672</v>
      </c>
      <c r="F80" s="202">
        <v>248.60842895507812</v>
      </c>
      <c r="G80" s="203">
        <v>78.86433410644531</v>
      </c>
      <c r="I80" s="45"/>
      <c r="J80" s="45"/>
      <c r="K80" s="45"/>
    </row>
    <row r="81" spans="1:11" ht="15.75">
      <c r="A81" s="198">
        <v>61</v>
      </c>
      <c r="B81" s="199">
        <v>166.66476440429688</v>
      </c>
      <c r="C81" s="202">
        <v>0.2281343638896942</v>
      </c>
      <c r="D81" s="202">
        <v>27.441898345947266</v>
      </c>
      <c r="E81" s="202">
        <v>9.333778381347656</v>
      </c>
      <c r="F81" s="202">
        <v>248.9759521484375</v>
      </c>
      <c r="G81" s="203">
        <v>78.67113494873047</v>
      </c>
      <c r="I81" s="45"/>
      <c r="J81" s="45"/>
      <c r="K81" s="45"/>
    </row>
    <row r="82" spans="1:11" ht="15.75">
      <c r="A82" s="198">
        <v>62</v>
      </c>
      <c r="B82" s="199">
        <v>164.71453857421875</v>
      </c>
      <c r="C82" s="202">
        <v>0.21977072954177856</v>
      </c>
      <c r="D82" s="202">
        <v>27.44156265258789</v>
      </c>
      <c r="E82" s="202">
        <v>8.945985794067383</v>
      </c>
      <c r="F82" s="202">
        <v>249.74647521972656</v>
      </c>
      <c r="G82" s="203">
        <v>79.51802825927734</v>
      </c>
      <c r="I82" s="45"/>
      <c r="J82" s="45"/>
      <c r="K82" s="45"/>
    </row>
    <row r="83" spans="1:11" ht="15.75">
      <c r="A83" s="198">
        <v>63</v>
      </c>
      <c r="B83" s="199">
        <v>162.78634643554688</v>
      </c>
      <c r="C83" s="202">
        <v>0.2292194366455078</v>
      </c>
      <c r="D83" s="202">
        <v>27.44168472290039</v>
      </c>
      <c r="E83" s="202">
        <v>8.566178321838379</v>
      </c>
      <c r="F83" s="202">
        <v>250.00045776367188</v>
      </c>
      <c r="G83" s="203">
        <v>78.63495635986328</v>
      </c>
      <c r="I83" s="45"/>
      <c r="J83" s="45"/>
      <c r="K83" s="45"/>
    </row>
    <row r="84" spans="1:11" ht="15.75">
      <c r="A84" s="198">
        <v>64</v>
      </c>
      <c r="B84" s="199">
        <v>161.80213928222656</v>
      </c>
      <c r="C84" s="202">
        <v>0.2574314475059509</v>
      </c>
      <c r="D84" s="202">
        <v>27.441532135009766</v>
      </c>
      <c r="E84" s="202">
        <v>7.896663665771484</v>
      </c>
      <c r="F84" s="202">
        <v>249.984619140625</v>
      </c>
      <c r="G84" s="203">
        <v>78.53533172607422</v>
      </c>
      <c r="I84" s="45"/>
      <c r="J84" s="45"/>
      <c r="K84" s="45"/>
    </row>
    <row r="85" spans="1:11" ht="15.75">
      <c r="A85" s="198">
        <v>65</v>
      </c>
      <c r="B85" s="199">
        <v>159.64781188964844</v>
      </c>
      <c r="C85" s="202">
        <v>0.2814981937408447</v>
      </c>
      <c r="D85" s="202">
        <v>27.44156265258789</v>
      </c>
      <c r="E85" s="202">
        <v>7.588971138000488</v>
      </c>
      <c r="F85" s="202">
        <v>250.55503845214844</v>
      </c>
      <c r="G85" s="203">
        <v>77.93097686767578</v>
      </c>
      <c r="I85" s="45"/>
      <c r="J85" s="45"/>
      <c r="K85" s="45"/>
    </row>
    <row r="86" spans="1:11" ht="15.75">
      <c r="A86" s="198">
        <v>66</v>
      </c>
      <c r="B86" s="199">
        <v>157.75299072265625</v>
      </c>
      <c r="C86" s="202">
        <v>0.2896057963371277</v>
      </c>
      <c r="D86" s="202">
        <v>27.44159507751465</v>
      </c>
      <c r="E86" s="202">
        <v>7.401461124420166</v>
      </c>
      <c r="F86" s="202">
        <v>250.86697387695312</v>
      </c>
      <c r="G86" s="203">
        <v>78.30887603759766</v>
      </c>
      <c r="I86" s="45"/>
      <c r="J86" s="45"/>
      <c r="K86" s="45"/>
    </row>
    <row r="87" spans="1:11" ht="15.75">
      <c r="A87" s="198">
        <v>67</v>
      </c>
      <c r="B87" s="199">
        <v>156.82037353515625</v>
      </c>
      <c r="C87" s="202">
        <v>0.28958141803741455</v>
      </c>
      <c r="D87" s="202">
        <v>27.44162368774414</v>
      </c>
      <c r="E87" s="202">
        <v>7.308588981628418</v>
      </c>
      <c r="F87" s="202">
        <v>251.29811096191406</v>
      </c>
      <c r="G87" s="203">
        <v>78.91755676269531</v>
      </c>
      <c r="I87" s="45"/>
      <c r="J87" s="45"/>
      <c r="K87" s="45"/>
    </row>
    <row r="88" spans="1:11" ht="15.75">
      <c r="A88" s="198">
        <v>68</v>
      </c>
      <c r="B88" s="199">
        <v>154.68350219726562</v>
      </c>
      <c r="C88" s="202">
        <v>0.29258060455322266</v>
      </c>
      <c r="D88" s="202">
        <v>27.44168472290039</v>
      </c>
      <c r="E88" s="202">
        <v>7.435201644897461</v>
      </c>
      <c r="F88" s="202">
        <v>251.52859497070312</v>
      </c>
      <c r="G88" s="203">
        <v>79.01647186279297</v>
      </c>
      <c r="I88" s="45"/>
      <c r="J88" s="45"/>
      <c r="K88" s="45"/>
    </row>
    <row r="89" spans="1:11" ht="15.75">
      <c r="A89" s="198">
        <v>69</v>
      </c>
      <c r="B89" s="199">
        <v>153.67727661132812</v>
      </c>
      <c r="C89" s="202">
        <v>0.31635475158691406</v>
      </c>
      <c r="D89" s="202">
        <v>27.44159507751465</v>
      </c>
      <c r="E89" s="202">
        <v>7.143694877624512</v>
      </c>
      <c r="F89" s="202">
        <v>251.86376953125</v>
      </c>
      <c r="G89" s="203">
        <v>79.31649780273438</v>
      </c>
      <c r="I89" s="45"/>
      <c r="J89" s="45"/>
      <c r="K89" s="45"/>
    </row>
    <row r="90" spans="1:11" ht="15.75">
      <c r="A90" s="198">
        <v>70</v>
      </c>
      <c r="B90" s="199">
        <v>151.75894165039062</v>
      </c>
      <c r="C90" s="202">
        <v>0.36409813165664673</v>
      </c>
      <c r="D90" s="202">
        <v>27.441837310791016</v>
      </c>
      <c r="E90" s="202">
        <v>7.128698348999023</v>
      </c>
      <c r="F90" s="202">
        <v>252.406005859375</v>
      </c>
      <c r="G90" s="203">
        <v>79.44206237792969</v>
      </c>
      <c r="I90" s="45"/>
      <c r="J90" s="45"/>
      <c r="K90" s="45"/>
    </row>
    <row r="91" spans="1:11" ht="15.75">
      <c r="A91" s="198">
        <v>71</v>
      </c>
      <c r="B91" s="199">
        <v>149.8481903076172</v>
      </c>
      <c r="C91" s="202">
        <v>0.3778993487358093</v>
      </c>
      <c r="D91" s="202">
        <v>27.44156265258789</v>
      </c>
      <c r="E91" s="202">
        <v>6.789703845977783</v>
      </c>
      <c r="F91" s="202">
        <v>252.5438690185547</v>
      </c>
      <c r="G91" s="203">
        <v>79.23149108886719</v>
      </c>
      <c r="I91" s="45"/>
      <c r="J91" s="45"/>
      <c r="K91" s="45"/>
    </row>
    <row r="92" spans="1:11" ht="15.75">
      <c r="A92" s="198">
        <v>72</v>
      </c>
      <c r="B92" s="199">
        <v>148.62493896484375</v>
      </c>
      <c r="C92" s="202">
        <v>0.39591893553733826</v>
      </c>
      <c r="D92" s="202">
        <v>27.44168472290039</v>
      </c>
      <c r="E92" s="202">
        <v>6.694241523742676</v>
      </c>
      <c r="F92" s="202">
        <v>252.80038452148438</v>
      </c>
      <c r="G92" s="203">
        <v>79.81488800048828</v>
      </c>
      <c r="I92" s="45"/>
      <c r="J92" s="45"/>
      <c r="K92" s="45"/>
    </row>
    <row r="93" spans="1:11" ht="15.75">
      <c r="A93" s="198">
        <v>73</v>
      </c>
      <c r="B93" s="199">
        <v>146.69976806640625</v>
      </c>
      <c r="C93" s="202">
        <v>0.4255695641040802</v>
      </c>
      <c r="D93" s="202">
        <v>27.441471099853516</v>
      </c>
      <c r="E93" s="202">
        <v>6.258200645446777</v>
      </c>
      <c r="F93" s="202">
        <v>252.6814727783203</v>
      </c>
      <c r="G93" s="203">
        <v>78.97132110595703</v>
      </c>
      <c r="I93" s="45"/>
      <c r="J93" s="45"/>
      <c r="K93" s="45"/>
    </row>
    <row r="94" spans="1:11" ht="15.75">
      <c r="A94" s="198">
        <v>74</v>
      </c>
      <c r="B94" s="199">
        <v>144.79054260253906</v>
      </c>
      <c r="C94" s="202">
        <v>0.4176936149597168</v>
      </c>
      <c r="D94" s="202">
        <v>27.44156265258789</v>
      </c>
      <c r="E94" s="202">
        <v>6.25103759765625</v>
      </c>
      <c r="F94" s="202">
        <v>253.166748046875</v>
      </c>
      <c r="G94" s="203">
        <v>78.8316650390625</v>
      </c>
      <c r="I94" s="45"/>
      <c r="J94" s="45"/>
      <c r="K94" s="45"/>
    </row>
    <row r="95" spans="1:11" ht="15.75">
      <c r="A95" s="198">
        <v>75</v>
      </c>
      <c r="B95" s="199">
        <v>143.78811645507812</v>
      </c>
      <c r="C95" s="202">
        <v>0.3932367265224457</v>
      </c>
      <c r="D95" s="202">
        <v>27.44174575805664</v>
      </c>
      <c r="E95" s="202">
        <v>6.472441673278809</v>
      </c>
      <c r="F95" s="202">
        <v>253.58465576171875</v>
      </c>
      <c r="G95" s="203">
        <v>79.12782287597656</v>
      </c>
      <c r="I95" s="45"/>
      <c r="J95" s="45"/>
      <c r="K95" s="45"/>
    </row>
    <row r="96" spans="1:11" ht="15.75">
      <c r="A96" s="198">
        <v>76</v>
      </c>
      <c r="B96" s="199">
        <v>141.7005615234375</v>
      </c>
      <c r="C96" s="202">
        <v>0.35895317792892456</v>
      </c>
      <c r="D96" s="202">
        <v>27.44156265258789</v>
      </c>
      <c r="E96" s="202">
        <v>6.465705871582031</v>
      </c>
      <c r="F96" s="202">
        <v>253.92147827148438</v>
      </c>
      <c r="G96" s="203">
        <v>79.48423767089844</v>
      </c>
      <c r="I96" s="45"/>
      <c r="J96" s="45"/>
      <c r="K96" s="45"/>
    </row>
    <row r="97" spans="1:11" ht="15.75">
      <c r="A97" s="198">
        <v>77</v>
      </c>
      <c r="B97" s="199">
        <v>140.77554321289062</v>
      </c>
      <c r="C97" s="202">
        <v>0.35374724864959717</v>
      </c>
      <c r="D97" s="202">
        <v>27.44186782836914</v>
      </c>
      <c r="E97" s="202">
        <v>6.769983768463135</v>
      </c>
      <c r="F97" s="202">
        <v>254.21945190429688</v>
      </c>
      <c r="G97" s="203">
        <v>79.86576080322266</v>
      </c>
      <c r="I97" s="45"/>
      <c r="J97" s="45"/>
      <c r="K97" s="45"/>
    </row>
    <row r="98" spans="1:11" ht="15.75">
      <c r="A98" s="198">
        <v>78</v>
      </c>
      <c r="B98" s="199">
        <v>138.78663635253906</v>
      </c>
      <c r="C98" s="202">
        <v>0.35374724864959717</v>
      </c>
      <c r="D98" s="202">
        <v>27.441471099853516</v>
      </c>
      <c r="E98" s="202">
        <v>6.446869373321533</v>
      </c>
      <c r="F98" s="202">
        <v>253.99832153320312</v>
      </c>
      <c r="G98" s="203">
        <v>79.50284576416016</v>
      </c>
      <c r="I98" s="45"/>
      <c r="J98" s="45"/>
      <c r="K98" s="45"/>
    </row>
    <row r="99" spans="1:11" ht="15.75">
      <c r="A99" s="198">
        <v>79</v>
      </c>
      <c r="B99" s="199">
        <v>136.72715759277344</v>
      </c>
      <c r="C99" s="202">
        <v>0.3460785448551178</v>
      </c>
      <c r="D99" s="202">
        <v>27.44168472290039</v>
      </c>
      <c r="E99" s="202">
        <v>6.473325729370117</v>
      </c>
      <c r="F99" s="202">
        <v>254.3783721923828</v>
      </c>
      <c r="G99" s="203">
        <v>79.20205688476562</v>
      </c>
      <c r="I99" s="45"/>
      <c r="J99" s="45"/>
      <c r="K99" s="45"/>
    </row>
    <row r="100" spans="1:11" ht="15.75">
      <c r="A100" s="198">
        <v>80</v>
      </c>
      <c r="B100" s="199">
        <v>135.72018432617188</v>
      </c>
      <c r="C100" s="202">
        <v>0.33839768171310425</v>
      </c>
      <c r="D100" s="202">
        <v>27.441442489624023</v>
      </c>
      <c r="E100" s="202">
        <v>6.38746452331543</v>
      </c>
      <c r="F100" s="202">
        <v>254.7313232421875</v>
      </c>
      <c r="G100" s="203">
        <v>79.88316345214844</v>
      </c>
      <c r="I100" s="45"/>
      <c r="J100" s="45"/>
      <c r="K100" s="45"/>
    </row>
    <row r="101" spans="1:11" ht="15.75">
      <c r="A101" s="198">
        <v>81</v>
      </c>
      <c r="B101" s="199">
        <v>133.76010131835938</v>
      </c>
      <c r="C101" s="202">
        <v>0.42077818512916565</v>
      </c>
      <c r="D101" s="202">
        <v>27.44156265258789</v>
      </c>
      <c r="E101" s="202">
        <v>5.985773086547852</v>
      </c>
      <c r="F101" s="202">
        <v>254.6453094482422</v>
      </c>
      <c r="G101" s="203">
        <v>79.0020751953125</v>
      </c>
      <c r="I101" s="45"/>
      <c r="J101" s="45"/>
      <c r="K101" s="45"/>
    </row>
    <row r="102" spans="1:11" ht="15.75">
      <c r="A102" s="198">
        <v>82</v>
      </c>
      <c r="B102" s="199">
        <v>132.8070068359375</v>
      </c>
      <c r="C102" s="202">
        <v>0.4438817799091339</v>
      </c>
      <c r="D102" s="202">
        <v>27.441471099853516</v>
      </c>
      <c r="E102" s="202">
        <v>5.80963134765625</v>
      </c>
      <c r="F102" s="202">
        <v>255.1901092529297</v>
      </c>
      <c r="G102" s="203">
        <v>79.85633087158203</v>
      </c>
      <c r="I102" s="45"/>
      <c r="J102" s="45"/>
      <c r="K102" s="45"/>
    </row>
    <row r="103" spans="1:11" ht="15.75">
      <c r="A103" s="198">
        <v>83</v>
      </c>
      <c r="B103" s="199">
        <v>130.69288635253906</v>
      </c>
      <c r="C103" s="202">
        <v>0.4094884991645813</v>
      </c>
      <c r="D103" s="202">
        <v>27.441532135009766</v>
      </c>
      <c r="E103" s="202">
        <v>5.960109233856201</v>
      </c>
      <c r="F103" s="202">
        <v>254.90879821777344</v>
      </c>
      <c r="G103" s="203">
        <v>79.74324035644531</v>
      </c>
      <c r="I103" s="45"/>
      <c r="J103" s="45"/>
      <c r="K103" s="45"/>
    </row>
    <row r="104" spans="1:11" ht="15.75">
      <c r="A104" s="198">
        <v>84</v>
      </c>
      <c r="B104" s="199">
        <v>129.752685546875</v>
      </c>
      <c r="C104" s="202">
        <v>0.39050576090812683</v>
      </c>
      <c r="D104" s="202">
        <v>27.441776275634766</v>
      </c>
      <c r="E104" s="202">
        <v>6.172308444976807</v>
      </c>
      <c r="F104" s="202">
        <v>255.17770385742188</v>
      </c>
      <c r="G104" s="203">
        <v>79.60474395751953</v>
      </c>
      <c r="I104" s="45"/>
      <c r="J104" s="45"/>
      <c r="K104" s="45"/>
    </row>
    <row r="105" spans="1:11" ht="15.75">
      <c r="A105" s="198">
        <v>85</v>
      </c>
      <c r="B105" s="199">
        <v>127.72582244873047</v>
      </c>
      <c r="C105" s="202">
        <v>0.3669632375240326</v>
      </c>
      <c r="D105" s="202">
        <v>27.44156265258789</v>
      </c>
      <c r="E105" s="202">
        <v>5.932159423828125</v>
      </c>
      <c r="F105" s="202">
        <v>255.32223510742188</v>
      </c>
      <c r="G105" s="203">
        <v>79.38587951660156</v>
      </c>
      <c r="I105" s="45"/>
      <c r="J105" s="45"/>
      <c r="K105" s="45"/>
    </row>
    <row r="106" spans="1:11" ht="15.75">
      <c r="A106" s="198">
        <v>86</v>
      </c>
      <c r="B106" s="199">
        <v>126.77653503417969</v>
      </c>
      <c r="C106" s="202">
        <v>0.40127116441726685</v>
      </c>
      <c r="D106" s="202">
        <v>27.441959381103516</v>
      </c>
      <c r="E106" s="202">
        <v>5.998544216156006</v>
      </c>
      <c r="F106" s="202">
        <v>255.36756896972656</v>
      </c>
      <c r="G106" s="203">
        <v>79.43135833740234</v>
      </c>
      <c r="I106" s="45"/>
      <c r="J106" s="45"/>
      <c r="K106" s="45"/>
    </row>
    <row r="107" spans="1:11" ht="15.75">
      <c r="A107" s="198">
        <v>87</v>
      </c>
      <c r="B107" s="199">
        <v>124.69275665283203</v>
      </c>
      <c r="C107" s="202">
        <v>0.41488948464393616</v>
      </c>
      <c r="D107" s="202">
        <v>27.44156265258789</v>
      </c>
      <c r="E107" s="202">
        <v>5.744222640991211</v>
      </c>
      <c r="F107" s="202">
        <v>255.68890380859375</v>
      </c>
      <c r="G107" s="203">
        <v>79.54682159423828</v>
      </c>
      <c r="I107" s="45"/>
      <c r="J107" s="45"/>
      <c r="K107" s="45"/>
    </row>
    <row r="108" spans="1:11" ht="15.75">
      <c r="A108" s="198">
        <v>88</v>
      </c>
      <c r="B108" s="199">
        <v>122.77745819091797</v>
      </c>
      <c r="C108" s="202">
        <v>0.3669632375240326</v>
      </c>
      <c r="D108" s="202">
        <v>27.44168472290039</v>
      </c>
      <c r="E108" s="202">
        <v>6.031370639801025</v>
      </c>
      <c r="F108" s="202">
        <v>255.69947814941406</v>
      </c>
      <c r="G108" s="203">
        <v>79.00049591064453</v>
      </c>
      <c r="I108" s="45"/>
      <c r="J108" s="45"/>
      <c r="K108" s="45"/>
    </row>
    <row r="109" spans="1:11" ht="15.75">
      <c r="A109" s="198">
        <v>89</v>
      </c>
      <c r="B109" s="199">
        <v>121.8167724609375</v>
      </c>
      <c r="C109" s="202">
        <v>0.3722423315048218</v>
      </c>
      <c r="D109" s="202">
        <v>27.441471099853516</v>
      </c>
      <c r="E109" s="202">
        <v>5.924935817718506</v>
      </c>
      <c r="F109" s="202">
        <v>255.60972595214844</v>
      </c>
      <c r="G109" s="203">
        <v>79.21781921386719</v>
      </c>
      <c r="I109" s="45"/>
      <c r="J109" s="45"/>
      <c r="K109" s="45"/>
    </row>
    <row r="110" spans="1:11" ht="15.75">
      <c r="A110" s="198">
        <v>90</v>
      </c>
      <c r="B110" s="199">
        <v>119.86504364013672</v>
      </c>
      <c r="C110" s="202">
        <v>0.35895317792892456</v>
      </c>
      <c r="D110" s="202">
        <v>27.441532135009766</v>
      </c>
      <c r="E110" s="202">
        <v>5.979707717895508</v>
      </c>
      <c r="F110" s="202">
        <v>255.20147705078125</v>
      </c>
      <c r="G110" s="203">
        <v>79.62818908691406</v>
      </c>
      <c r="I110" s="45"/>
      <c r="J110" s="45"/>
      <c r="K110" s="45"/>
    </row>
    <row r="111" spans="1:11" ht="15.75">
      <c r="A111" s="198">
        <v>91</v>
      </c>
      <c r="B111" s="199">
        <v>118.70401763916016</v>
      </c>
      <c r="C111" s="202">
        <v>0.36693885922431946</v>
      </c>
      <c r="D111" s="202">
        <v>27.441471099853516</v>
      </c>
      <c r="E111" s="202">
        <v>5.904392719268799</v>
      </c>
      <c r="F111" s="202">
        <v>254.40574645996094</v>
      </c>
      <c r="G111" s="203">
        <v>79.00789642333984</v>
      </c>
      <c r="I111" s="45"/>
      <c r="J111" s="45"/>
      <c r="K111" s="45"/>
    </row>
    <row r="112" spans="1:11" ht="15.75">
      <c r="A112" s="198">
        <v>92</v>
      </c>
      <c r="B112" s="199">
        <v>116.75001525878906</v>
      </c>
      <c r="C112" s="202">
        <v>1.324525237083435</v>
      </c>
      <c r="D112" s="202">
        <v>27.441532135009766</v>
      </c>
      <c r="E112" s="202">
        <v>4.9620842933654785</v>
      </c>
      <c r="F112" s="202">
        <v>253.70095825195312</v>
      </c>
      <c r="G112" s="203">
        <v>78.80455780029297</v>
      </c>
      <c r="I112" s="45"/>
      <c r="J112" s="45"/>
      <c r="K112" s="45"/>
    </row>
    <row r="113" spans="1:11" ht="15.75">
      <c r="A113" s="198">
        <v>93</v>
      </c>
      <c r="B113" s="199">
        <v>114.81954193115234</v>
      </c>
      <c r="C113" s="202">
        <v>3.2645695209503174</v>
      </c>
      <c r="D113" s="202">
        <v>27.44159507751465</v>
      </c>
      <c r="E113" s="202">
        <v>4.274128437042236</v>
      </c>
      <c r="F113" s="202">
        <v>253.4302520751953</v>
      </c>
      <c r="G113" s="203">
        <v>79.58366394042969</v>
      </c>
      <c r="I113" s="45"/>
      <c r="J113" s="45"/>
      <c r="K113" s="45"/>
    </row>
    <row r="114" spans="1:11" ht="15.75">
      <c r="A114" s="198">
        <v>94</v>
      </c>
      <c r="B114" s="199">
        <v>113.8816146850586</v>
      </c>
      <c r="C114" s="202">
        <v>3.3106181621551514</v>
      </c>
      <c r="D114" s="202">
        <v>27.441442489624023</v>
      </c>
      <c r="E114" s="202">
        <v>4.066287994384766</v>
      </c>
      <c r="F114" s="202">
        <v>252.9130096435547</v>
      </c>
      <c r="G114" s="203">
        <v>79.51038360595703</v>
      </c>
      <c r="I114" s="45"/>
      <c r="J114" s="45"/>
      <c r="K114" s="45"/>
    </row>
    <row r="115" spans="1:11" ht="15.75">
      <c r="A115" s="198">
        <v>95</v>
      </c>
      <c r="B115" s="199">
        <v>111.70982360839844</v>
      </c>
      <c r="C115" s="202">
        <v>2.641052722930908</v>
      </c>
      <c r="D115" s="202">
        <v>27.441837310791016</v>
      </c>
      <c r="E115" s="202">
        <v>4.293940544128418</v>
      </c>
      <c r="F115" s="202">
        <v>251.31129455566406</v>
      </c>
      <c r="G115" s="203">
        <v>78.84711456298828</v>
      </c>
      <c r="I115" s="45"/>
      <c r="J115" s="45"/>
      <c r="K115" s="45"/>
    </row>
    <row r="116" spans="1:11" ht="15.75">
      <c r="A116" s="198">
        <v>96</v>
      </c>
      <c r="B116" s="199">
        <v>110.72713470458984</v>
      </c>
      <c r="C116" s="202">
        <v>1.9344481229782104</v>
      </c>
      <c r="D116" s="202">
        <v>27.44159507751465</v>
      </c>
      <c r="E116" s="202">
        <v>4.125814437866211</v>
      </c>
      <c r="F116" s="202">
        <v>249.7688751220703</v>
      </c>
      <c r="G116" s="203">
        <v>79.6370620727539</v>
      </c>
      <c r="I116" s="45"/>
      <c r="J116" s="45"/>
      <c r="K116" s="45"/>
    </row>
    <row r="117" spans="1:11" ht="15.75">
      <c r="A117" s="198">
        <v>97</v>
      </c>
      <c r="B117" s="199">
        <v>108.79741668701172</v>
      </c>
      <c r="C117" s="202">
        <v>1.3836071491241455</v>
      </c>
      <c r="D117" s="202">
        <v>27.441715240478516</v>
      </c>
      <c r="E117" s="202">
        <v>4.493520736694336</v>
      </c>
      <c r="F117" s="202">
        <v>246.79368591308594</v>
      </c>
      <c r="G117" s="203">
        <v>78.79959869384766</v>
      </c>
      <c r="I117" s="45"/>
      <c r="J117" s="45"/>
      <c r="K117" s="45"/>
    </row>
    <row r="118" spans="1:11" ht="15.75">
      <c r="A118" s="198">
        <v>98</v>
      </c>
      <c r="B118" s="199">
        <v>107.7714614868164</v>
      </c>
      <c r="C118" s="202">
        <v>0.7922402024269104</v>
      </c>
      <c r="D118" s="202">
        <v>27.44159507751465</v>
      </c>
      <c r="E118" s="202">
        <v>4.6001081466674805</v>
      </c>
      <c r="F118" s="202">
        <v>244.6769256591797</v>
      </c>
      <c r="G118" s="203">
        <v>78.68038177490234</v>
      </c>
      <c r="I118" s="45"/>
      <c r="J118" s="45"/>
      <c r="K118" s="45"/>
    </row>
    <row r="119" spans="1:11" ht="15.75">
      <c r="A119" s="198">
        <v>99</v>
      </c>
      <c r="B119" s="199">
        <v>106.65066528320312</v>
      </c>
      <c r="C119" s="202">
        <v>0.39888155460357666</v>
      </c>
      <c r="D119" s="202">
        <v>27.441532135009766</v>
      </c>
      <c r="E119" s="202">
        <v>5.51687479019165</v>
      </c>
      <c r="F119" s="202">
        <v>242.4740447998047</v>
      </c>
      <c r="G119" s="203">
        <v>79.84332275390625</v>
      </c>
      <c r="I119" s="45"/>
      <c r="J119" s="45"/>
      <c r="K119" s="45"/>
    </row>
    <row r="120" spans="1:11" ht="15.75">
      <c r="A120" s="198">
        <v>100</v>
      </c>
      <c r="B120" s="199">
        <v>105.6748046875</v>
      </c>
      <c r="C120" s="202">
        <v>0.22815874218940735</v>
      </c>
      <c r="D120" s="202">
        <v>27.44156265258789</v>
      </c>
      <c r="E120" s="202">
        <v>6.5461106300354</v>
      </c>
      <c r="F120" s="202">
        <v>240.5862274169922</v>
      </c>
      <c r="G120" s="203">
        <v>79.7452621459961</v>
      </c>
      <c r="I120" s="45"/>
      <c r="J120" s="45"/>
      <c r="K120" s="45"/>
    </row>
    <row r="121" spans="1:11" ht="15.75">
      <c r="A121" s="198">
        <v>101</v>
      </c>
      <c r="B121" s="199">
        <v>104.69134521484375</v>
      </c>
      <c r="C121" s="202">
        <v>0.14813128113746643</v>
      </c>
      <c r="D121" s="202">
        <v>27.441532135009766</v>
      </c>
      <c r="E121" s="202">
        <v>7.690011024475098</v>
      </c>
      <c r="F121" s="202">
        <v>238.41697692871094</v>
      </c>
      <c r="G121" s="203">
        <v>79.55741119384766</v>
      </c>
      <c r="I121" s="45"/>
      <c r="J121" s="45"/>
      <c r="K121" s="45"/>
    </row>
    <row r="122" spans="1:11" ht="15.75">
      <c r="A122" s="198">
        <v>102</v>
      </c>
      <c r="B122" s="199">
        <v>103.76405334472656</v>
      </c>
      <c r="C122" s="202">
        <v>0.11073879897594452</v>
      </c>
      <c r="D122" s="202">
        <v>27.44174575805664</v>
      </c>
      <c r="E122" s="202">
        <v>8.738389015197754</v>
      </c>
      <c r="F122" s="202">
        <v>237.23782348632812</v>
      </c>
      <c r="G122" s="203">
        <v>79.53800201416016</v>
      </c>
      <c r="I122" s="45"/>
      <c r="J122" s="45"/>
      <c r="K122" s="45"/>
    </row>
    <row r="123" spans="1:11" ht="15.75">
      <c r="A123" s="198">
        <v>103</v>
      </c>
      <c r="B123" s="199">
        <v>102.75176239013672</v>
      </c>
      <c r="C123" s="202">
        <v>0.10265558212995529</v>
      </c>
      <c r="D123" s="202">
        <v>27.441532135009766</v>
      </c>
      <c r="E123" s="202">
        <v>9.272574424743652</v>
      </c>
      <c r="F123" s="202">
        <v>236.76498413085938</v>
      </c>
      <c r="G123" s="203">
        <v>80.19242858886719</v>
      </c>
      <c r="I123" s="45"/>
      <c r="J123" s="45"/>
      <c r="K123" s="45"/>
    </row>
    <row r="124" spans="1:11" ht="15.75">
      <c r="A124" s="198">
        <v>104</v>
      </c>
      <c r="B124" s="199">
        <v>100.66344451904297</v>
      </c>
      <c r="C124" s="202">
        <v>0.07962513715028763</v>
      </c>
      <c r="D124" s="202">
        <v>27.441715240478516</v>
      </c>
      <c r="E124" s="202">
        <v>10.284438133239746</v>
      </c>
      <c r="F124" s="202">
        <v>237.83360290527344</v>
      </c>
      <c r="G124" s="203">
        <v>79.68655395507812</v>
      </c>
      <c r="I124" s="45"/>
      <c r="J124" s="45"/>
      <c r="K124" s="45"/>
    </row>
    <row r="125" spans="1:11" ht="15.75">
      <c r="A125" s="198">
        <v>105</v>
      </c>
      <c r="B125" s="199">
        <v>99.685302734375</v>
      </c>
      <c r="C125" s="202">
        <v>0.06283692270517349</v>
      </c>
      <c r="D125" s="202">
        <v>27.441532135009766</v>
      </c>
      <c r="E125" s="202">
        <v>10.502854347229004</v>
      </c>
      <c r="F125" s="202">
        <v>239.33050537109375</v>
      </c>
      <c r="G125" s="203">
        <v>79.92750549316406</v>
      </c>
      <c r="I125" s="45"/>
      <c r="J125" s="45"/>
      <c r="K125" s="45"/>
    </row>
    <row r="126" spans="1:11" ht="15.75">
      <c r="A126" s="198">
        <v>106</v>
      </c>
      <c r="B126" s="199">
        <v>98.77014923095703</v>
      </c>
      <c r="C126" s="202">
        <v>0.060191284865140915</v>
      </c>
      <c r="D126" s="202">
        <v>27.44162368774414</v>
      </c>
      <c r="E126" s="202">
        <v>10.351646423339844</v>
      </c>
      <c r="F126" s="202">
        <v>241.13449096679688</v>
      </c>
      <c r="G126" s="203">
        <v>79.84101104736328</v>
      </c>
      <c r="I126" s="45"/>
      <c r="J126" s="45"/>
      <c r="K126" s="45"/>
    </row>
    <row r="127" spans="1:11" ht="15.75">
      <c r="A127" s="198">
        <v>107</v>
      </c>
      <c r="B127" s="199">
        <v>97.74420166015625</v>
      </c>
      <c r="C127" s="202">
        <v>0.06283692270517349</v>
      </c>
      <c r="D127" s="202">
        <v>27.441471099853516</v>
      </c>
      <c r="E127" s="202">
        <v>9.981013298034668</v>
      </c>
      <c r="F127" s="202">
        <v>242.2903289794922</v>
      </c>
      <c r="G127" s="203">
        <v>79.95292663574219</v>
      </c>
      <c r="I127" s="45"/>
      <c r="J127" s="45"/>
      <c r="K127" s="45"/>
    </row>
    <row r="128" spans="1:11" ht="15.75">
      <c r="A128" s="198">
        <v>108</v>
      </c>
      <c r="B128" s="199">
        <v>96.7948989868164</v>
      </c>
      <c r="C128" s="202">
        <v>0.07373645901679993</v>
      </c>
      <c r="D128" s="202">
        <v>27.441532135009766</v>
      </c>
      <c r="E128" s="202">
        <v>9.231762886047363</v>
      </c>
      <c r="F128" s="202">
        <v>243.2782440185547</v>
      </c>
      <c r="G128" s="203">
        <v>79.58807373046875</v>
      </c>
      <c r="I128" s="45"/>
      <c r="J128" s="45"/>
      <c r="K128" s="45"/>
    </row>
    <row r="129" spans="1:11" ht="15.75">
      <c r="A129" s="198">
        <v>109</v>
      </c>
      <c r="B129" s="199">
        <v>95.84331512451172</v>
      </c>
      <c r="C129" s="202">
        <v>0.09202426671981812</v>
      </c>
      <c r="D129" s="202">
        <v>27.44159507751465</v>
      </c>
      <c r="E129" s="202">
        <v>8.764083862304688</v>
      </c>
      <c r="F129" s="202">
        <v>244.1005096435547</v>
      </c>
      <c r="G129" s="203">
        <v>80.24396514892578</v>
      </c>
      <c r="I129" s="45"/>
      <c r="J129" s="45"/>
      <c r="K129" s="45"/>
    </row>
    <row r="130" spans="1:11" ht="15.75">
      <c r="A130" s="198">
        <v>110</v>
      </c>
      <c r="B130" s="199">
        <v>93.8035659790039</v>
      </c>
      <c r="C130" s="202">
        <v>0.10784932225942612</v>
      </c>
      <c r="D130" s="202">
        <v>27.441471099853516</v>
      </c>
      <c r="E130" s="202">
        <v>8.290369033813477</v>
      </c>
      <c r="F130" s="202">
        <v>244.62367248535156</v>
      </c>
      <c r="G130" s="203">
        <v>79.14014434814453</v>
      </c>
      <c r="I130" s="45"/>
      <c r="J130" s="45"/>
      <c r="K130" s="45"/>
    </row>
    <row r="131" spans="1:11" ht="15.75">
      <c r="A131" s="198">
        <v>111</v>
      </c>
      <c r="B131" s="199">
        <v>92.82617950439453</v>
      </c>
      <c r="C131" s="202">
        <v>0.09204865247011185</v>
      </c>
      <c r="D131" s="202">
        <v>27.441654205322266</v>
      </c>
      <c r="E131" s="202">
        <v>8.553072929382324</v>
      </c>
      <c r="F131" s="202">
        <v>244.84730529785156</v>
      </c>
      <c r="G131" s="203">
        <v>79.95294189453125</v>
      </c>
      <c r="I131" s="45"/>
      <c r="J131" s="45"/>
      <c r="K131" s="45"/>
    </row>
    <row r="132" spans="1:11" ht="15.75">
      <c r="A132" s="198">
        <v>112</v>
      </c>
      <c r="B132" s="199">
        <v>91.74407958984375</v>
      </c>
      <c r="C132" s="202">
        <v>0.13732928037643433</v>
      </c>
      <c r="D132" s="202">
        <v>27.441532135009766</v>
      </c>
      <c r="E132" s="202">
        <v>8.069513320922852</v>
      </c>
      <c r="F132" s="202">
        <v>245.15530395507812</v>
      </c>
      <c r="G132" s="203">
        <v>79.38057708740234</v>
      </c>
      <c r="I132" s="45"/>
      <c r="J132" s="45"/>
      <c r="K132" s="45"/>
    </row>
    <row r="133" spans="1:11" ht="15.75">
      <c r="A133" s="198">
        <v>113</v>
      </c>
      <c r="B133" s="199">
        <v>90.81906127929688</v>
      </c>
      <c r="C133" s="202">
        <v>0.1400480717420578</v>
      </c>
      <c r="D133" s="202">
        <v>27.441532135009766</v>
      </c>
      <c r="E133" s="202">
        <v>7.795805931091309</v>
      </c>
      <c r="F133" s="202">
        <v>245.1542510986328</v>
      </c>
      <c r="G133" s="203">
        <v>80.0586929321289</v>
      </c>
      <c r="I133" s="45"/>
      <c r="J133" s="45"/>
      <c r="K133" s="45"/>
    </row>
    <row r="134" spans="1:11" ht="15.75">
      <c r="A134" s="198">
        <v>114</v>
      </c>
      <c r="B134" s="199">
        <v>89.78704071044922</v>
      </c>
      <c r="C134" s="202">
        <v>0.13208676874637604</v>
      </c>
      <c r="D134" s="202">
        <v>27.441532135009766</v>
      </c>
      <c r="E134" s="202">
        <v>7.9546661376953125</v>
      </c>
      <c r="F134" s="202">
        <v>244.820068359375</v>
      </c>
      <c r="G134" s="203">
        <v>79.08464050292969</v>
      </c>
      <c r="I134" s="45"/>
      <c r="J134" s="45"/>
      <c r="K134" s="45"/>
    </row>
    <row r="135" spans="1:11" ht="15.75">
      <c r="A135" s="198">
        <v>115</v>
      </c>
      <c r="B135" s="199">
        <v>88.6905288696289</v>
      </c>
      <c r="C135" s="202">
        <v>0.13457390666007996</v>
      </c>
      <c r="D135" s="202">
        <v>27.44150161743164</v>
      </c>
      <c r="E135" s="202">
        <v>8.136445999145508</v>
      </c>
      <c r="F135" s="202">
        <v>244.52174377441406</v>
      </c>
      <c r="G135" s="203">
        <v>80.05863952636719</v>
      </c>
      <c r="I135" s="45"/>
      <c r="J135" s="45"/>
      <c r="K135" s="45"/>
    </row>
    <row r="136" spans="1:11" ht="15.75">
      <c r="A136" s="198">
        <v>116</v>
      </c>
      <c r="B136" s="199">
        <v>87.69720458984375</v>
      </c>
      <c r="C136" s="202">
        <v>0.10266777873039246</v>
      </c>
      <c r="D136" s="202">
        <v>27.44174575805664</v>
      </c>
      <c r="E136" s="202">
        <v>8.798402786254883</v>
      </c>
      <c r="F136" s="202">
        <v>243.63345336914062</v>
      </c>
      <c r="G136" s="203">
        <v>79.8036117553711</v>
      </c>
      <c r="I136" s="45"/>
      <c r="J136" s="45"/>
      <c r="K136" s="45"/>
    </row>
    <row r="137" spans="1:11" ht="15.75">
      <c r="A137" s="198">
        <v>117</v>
      </c>
      <c r="B137" s="199">
        <v>86.67808532714844</v>
      </c>
      <c r="C137" s="202">
        <v>0.07964951545000076</v>
      </c>
      <c r="D137" s="202">
        <v>27.441532135009766</v>
      </c>
      <c r="E137" s="202">
        <v>8.985700607299805</v>
      </c>
      <c r="F137" s="202">
        <v>243.20323181152344</v>
      </c>
      <c r="G137" s="203">
        <v>80.06312561035156</v>
      </c>
      <c r="I137" s="45"/>
      <c r="J137" s="45"/>
      <c r="K137" s="45"/>
    </row>
    <row r="138" spans="1:11" ht="15.75">
      <c r="A138" s="198">
        <v>118</v>
      </c>
      <c r="B138" s="199">
        <v>85.73258209228516</v>
      </c>
      <c r="C138" s="202">
        <v>0.06287349760532379</v>
      </c>
      <c r="D138" s="202">
        <v>27.441471099853516</v>
      </c>
      <c r="E138" s="202">
        <v>9.54667854309082</v>
      </c>
      <c r="F138" s="202">
        <v>243.0444793701172</v>
      </c>
      <c r="G138" s="203">
        <v>79.81166076660156</v>
      </c>
      <c r="I138" s="45"/>
      <c r="J138" s="45"/>
      <c r="K138" s="45"/>
    </row>
    <row r="139" spans="1:11" ht="15.75">
      <c r="A139" s="198">
        <v>119</v>
      </c>
      <c r="B139" s="199">
        <v>84.4509048461914</v>
      </c>
      <c r="C139" s="202">
        <v>0.060227859765291214</v>
      </c>
      <c r="D139" s="202">
        <v>27.44162368774414</v>
      </c>
      <c r="E139" s="202">
        <v>10.190529823303223</v>
      </c>
      <c r="F139" s="202">
        <v>242.61944580078125</v>
      </c>
      <c r="G139" s="203">
        <v>80.1256332397461</v>
      </c>
      <c r="I139" s="45"/>
      <c r="J139" s="45"/>
      <c r="K139" s="45"/>
    </row>
    <row r="140" spans="1:11" ht="15.75">
      <c r="A140" s="198">
        <v>120</v>
      </c>
      <c r="B140" s="199">
        <v>82.71392822265625</v>
      </c>
      <c r="C140" s="202">
        <v>0.06020347774028778</v>
      </c>
      <c r="D140" s="202">
        <v>27.441532135009766</v>
      </c>
      <c r="E140" s="202">
        <v>10.137434005737305</v>
      </c>
      <c r="F140" s="202">
        <v>243.10513305664062</v>
      </c>
      <c r="G140" s="203">
        <v>80.10888671875</v>
      </c>
      <c r="I140" s="45"/>
      <c r="J140" s="45"/>
      <c r="K140" s="45"/>
    </row>
    <row r="141" spans="1:11" ht="15.75">
      <c r="A141" s="198">
        <v>121</v>
      </c>
      <c r="B141" s="199">
        <v>81.70846557617188</v>
      </c>
      <c r="C141" s="202">
        <v>0.06286130845546722</v>
      </c>
      <c r="D141" s="202">
        <v>27.441837310791016</v>
      </c>
      <c r="E141" s="202">
        <v>10.369750022888184</v>
      </c>
      <c r="F141" s="202">
        <v>243.4472198486328</v>
      </c>
      <c r="G141" s="203">
        <v>79.67962646484375</v>
      </c>
      <c r="I141" s="45"/>
      <c r="J141" s="45"/>
      <c r="K141" s="45"/>
    </row>
    <row r="142" spans="1:11" ht="15.75">
      <c r="A142" s="198">
        <v>122</v>
      </c>
      <c r="B142" s="199">
        <v>80.74398803710938</v>
      </c>
      <c r="C142" s="202">
        <v>0.06549475342035294</v>
      </c>
      <c r="D142" s="202">
        <v>27.44150161743164</v>
      </c>
      <c r="E142" s="202">
        <v>9.780487060546875</v>
      </c>
      <c r="F142" s="202">
        <v>244.15794372558594</v>
      </c>
      <c r="G142" s="203">
        <v>79.91361999511719</v>
      </c>
      <c r="I142" s="45"/>
      <c r="J142" s="45"/>
      <c r="K142" s="45"/>
    </row>
    <row r="143" spans="1:11" ht="15.75">
      <c r="A143" s="198">
        <v>123</v>
      </c>
      <c r="B143" s="199">
        <v>79.77040100097656</v>
      </c>
      <c r="C143" s="202">
        <v>0.06838422268629074</v>
      </c>
      <c r="D143" s="202">
        <v>27.44156265258789</v>
      </c>
      <c r="E143" s="202">
        <v>8.830833435058594</v>
      </c>
      <c r="F143" s="202">
        <v>244.39706420898438</v>
      </c>
      <c r="G143" s="203">
        <v>79.93778991699219</v>
      </c>
      <c r="I143" s="45"/>
      <c r="J143" s="45"/>
      <c r="K143" s="45"/>
    </row>
    <row r="144" spans="1:11" ht="15.75">
      <c r="A144" s="198">
        <v>124</v>
      </c>
      <c r="B144" s="199">
        <v>78.80743408203125</v>
      </c>
      <c r="C144" s="202">
        <v>0.07964951545000076</v>
      </c>
      <c r="D144" s="202">
        <v>27.441471099853516</v>
      </c>
      <c r="E144" s="202">
        <v>7.736279487609863</v>
      </c>
      <c r="F144" s="202">
        <v>244.03656005859375</v>
      </c>
      <c r="G144" s="203">
        <v>80.23566436767578</v>
      </c>
      <c r="I144" s="45"/>
      <c r="J144" s="45"/>
      <c r="K144" s="45"/>
    </row>
    <row r="145" spans="1:11" ht="15.75">
      <c r="A145" s="198">
        <v>125</v>
      </c>
      <c r="B145" s="199">
        <v>77.87862396240234</v>
      </c>
      <c r="C145" s="202">
        <v>0.08191720396280289</v>
      </c>
      <c r="D145" s="202">
        <v>27.44156265258789</v>
      </c>
      <c r="E145" s="202">
        <v>7.381770610809326</v>
      </c>
      <c r="F145" s="202">
        <v>243.4250030517578</v>
      </c>
      <c r="G145" s="203">
        <v>79.6849136352539</v>
      </c>
      <c r="I145" s="45"/>
      <c r="J145" s="45"/>
      <c r="K145" s="45"/>
    </row>
    <row r="146" spans="1:11" ht="15.75">
      <c r="A146" s="198">
        <v>126</v>
      </c>
      <c r="B146" s="199">
        <v>76.69180297851562</v>
      </c>
      <c r="C146" s="202">
        <v>0.08189282566308975</v>
      </c>
      <c r="D146" s="202">
        <v>27.441776275634766</v>
      </c>
      <c r="E146" s="202">
        <v>7.6850128173828125</v>
      </c>
      <c r="F146" s="202">
        <v>243.0958709716797</v>
      </c>
      <c r="G146" s="203">
        <v>79.52608489990234</v>
      </c>
      <c r="I146" s="45"/>
      <c r="J146" s="45"/>
      <c r="K146" s="45"/>
    </row>
    <row r="147" spans="1:11" ht="15.75">
      <c r="A147" s="198">
        <v>127</v>
      </c>
      <c r="B147" s="199">
        <v>75.73263549804688</v>
      </c>
      <c r="C147" s="202">
        <v>0.07092013210058212</v>
      </c>
      <c r="D147" s="202">
        <v>27.441532135009766</v>
      </c>
      <c r="E147" s="202">
        <v>7.9486918449401855</v>
      </c>
      <c r="F147" s="202">
        <v>242.4996337890625</v>
      </c>
      <c r="G147" s="203">
        <v>80.59857940673828</v>
      </c>
      <c r="I147" s="45"/>
      <c r="J147" s="45"/>
      <c r="K147" s="45"/>
    </row>
    <row r="148" spans="1:11" ht="15.75">
      <c r="A148" s="198">
        <v>128</v>
      </c>
      <c r="B148" s="199">
        <v>74.77346801757812</v>
      </c>
      <c r="C148" s="202">
        <v>0.0683598443865776</v>
      </c>
      <c r="D148" s="202">
        <v>27.44168472290039</v>
      </c>
      <c r="E148" s="202">
        <v>8.612690925598145</v>
      </c>
      <c r="F148" s="202">
        <v>241.46656799316406</v>
      </c>
      <c r="G148" s="203">
        <v>80.27909088134766</v>
      </c>
      <c r="I148" s="45"/>
      <c r="J148" s="45"/>
      <c r="K148" s="45"/>
    </row>
    <row r="149" spans="1:11" ht="15.75">
      <c r="A149" s="198">
        <v>129</v>
      </c>
      <c r="B149" s="199">
        <v>73.80670928955078</v>
      </c>
      <c r="C149" s="202">
        <v>0.06020347774028778</v>
      </c>
      <c r="D149" s="202">
        <v>27.44150161743164</v>
      </c>
      <c r="E149" s="202">
        <v>9.084332466125488</v>
      </c>
      <c r="F149" s="202">
        <v>240.71475219726562</v>
      </c>
      <c r="G149" s="203">
        <v>80.35232543945312</v>
      </c>
      <c r="I149" s="45"/>
      <c r="J149" s="45"/>
      <c r="K149" s="45"/>
    </row>
    <row r="150" spans="1:11" ht="15.75">
      <c r="A150" s="198">
        <v>130</v>
      </c>
      <c r="B150" s="199">
        <v>72.86043548583984</v>
      </c>
      <c r="C150" s="202">
        <v>0.06286130845546722</v>
      </c>
      <c r="D150" s="202">
        <v>27.441471099853516</v>
      </c>
      <c r="E150" s="202">
        <v>9.67972183227539</v>
      </c>
      <c r="F150" s="202">
        <v>239.680419921875</v>
      </c>
      <c r="G150" s="203">
        <v>80.45841217041016</v>
      </c>
      <c r="I150" s="45"/>
      <c r="J150" s="45"/>
      <c r="K150" s="45"/>
    </row>
    <row r="151" spans="1:11" ht="15.75">
      <c r="A151" s="198">
        <v>131</v>
      </c>
      <c r="B151" s="199">
        <v>71.82841491699219</v>
      </c>
      <c r="C151" s="202">
        <v>0.06288568675518036</v>
      </c>
      <c r="D151" s="202">
        <v>27.44159507751465</v>
      </c>
      <c r="E151" s="202">
        <v>10.182818412780762</v>
      </c>
      <c r="F151" s="202">
        <v>239.35443115234375</v>
      </c>
      <c r="G151" s="203">
        <v>80.50011444091797</v>
      </c>
      <c r="I151" s="45"/>
      <c r="J151" s="45"/>
      <c r="K151" s="45"/>
    </row>
    <row r="152" spans="1:11" ht="15.75">
      <c r="A152" s="198">
        <v>132</v>
      </c>
      <c r="B152" s="199">
        <v>70.67271423339844</v>
      </c>
      <c r="C152" s="202">
        <v>0.057813871651887894</v>
      </c>
      <c r="D152" s="202">
        <v>27.441471099853516</v>
      </c>
      <c r="E152" s="202">
        <v>10.983243942260742</v>
      </c>
      <c r="F152" s="202">
        <v>238.81126403808594</v>
      </c>
      <c r="G152" s="203">
        <v>80.69680786132812</v>
      </c>
      <c r="I152" s="45"/>
      <c r="J152" s="45"/>
      <c r="K152" s="45"/>
    </row>
    <row r="153" spans="1:11" ht="15.75">
      <c r="A153" s="198">
        <v>133</v>
      </c>
      <c r="B153" s="199">
        <v>69.71810150146484</v>
      </c>
      <c r="C153" s="202">
        <v>0.06286130845546722</v>
      </c>
      <c r="D153" s="202">
        <v>27.441715240478516</v>
      </c>
      <c r="E153" s="202">
        <v>11.859380722045898</v>
      </c>
      <c r="F153" s="202">
        <v>238.76797485351562</v>
      </c>
      <c r="G153" s="203">
        <v>80.13259887695312</v>
      </c>
      <c r="I153" s="45"/>
      <c r="J153" s="45"/>
      <c r="K153" s="45"/>
    </row>
    <row r="154" spans="1:11" ht="15.75">
      <c r="A154" s="198">
        <v>134</v>
      </c>
      <c r="B154" s="199">
        <v>68.72174072265625</v>
      </c>
      <c r="C154" s="202">
        <v>0.05487562716007233</v>
      </c>
      <c r="D154" s="202">
        <v>27.441442489624023</v>
      </c>
      <c r="E154" s="202">
        <v>11.957555770874023</v>
      </c>
      <c r="F154" s="202">
        <v>238.8218994140625</v>
      </c>
      <c r="G154" s="203">
        <v>79.98173522949219</v>
      </c>
      <c r="I154" s="45"/>
      <c r="J154" s="45"/>
      <c r="K154" s="45"/>
    </row>
    <row r="155" spans="1:11" ht="15.75">
      <c r="A155" s="198">
        <v>135</v>
      </c>
      <c r="B155" s="199">
        <v>67.7694091796875</v>
      </c>
      <c r="C155" s="202">
        <v>0.060252245515584946</v>
      </c>
      <c r="D155" s="202">
        <v>27.441532135009766</v>
      </c>
      <c r="E155" s="202">
        <v>11.995290756225586</v>
      </c>
      <c r="F155" s="202">
        <v>239.70045471191406</v>
      </c>
      <c r="G155" s="203">
        <v>80.16178131103516</v>
      </c>
      <c r="I155" s="45"/>
      <c r="J155" s="45"/>
      <c r="K155" s="45"/>
    </row>
    <row r="156" spans="1:11" ht="15.75">
      <c r="A156" s="198">
        <v>136</v>
      </c>
      <c r="B156" s="199">
        <v>66.82693481445312</v>
      </c>
      <c r="C156" s="202">
        <v>0.06020347774028778</v>
      </c>
      <c r="D156" s="202">
        <v>27.441471099853516</v>
      </c>
      <c r="E156" s="202">
        <v>11.969138145446777</v>
      </c>
      <c r="F156" s="202">
        <v>241.690673828125</v>
      </c>
      <c r="G156" s="203">
        <v>79.94235229492188</v>
      </c>
      <c r="I156" s="45"/>
      <c r="J156" s="45"/>
      <c r="K156" s="45"/>
    </row>
    <row r="157" spans="1:11" ht="15.75">
      <c r="A157" s="198">
        <v>137</v>
      </c>
      <c r="B157" s="199">
        <v>65.79415130615234</v>
      </c>
      <c r="C157" s="202">
        <v>0.057813871651887894</v>
      </c>
      <c r="D157" s="202">
        <v>27.441471099853516</v>
      </c>
      <c r="E157" s="202">
        <v>11.4718017578125</v>
      </c>
      <c r="F157" s="202">
        <v>243.9530029296875</v>
      </c>
      <c r="G157" s="203">
        <v>80.109375</v>
      </c>
      <c r="I157" s="45"/>
      <c r="J157" s="45"/>
      <c r="K157" s="45"/>
    </row>
    <row r="158" spans="1:11" ht="15.75">
      <c r="A158" s="198">
        <v>138</v>
      </c>
      <c r="B158" s="199">
        <v>64.69004821777344</v>
      </c>
      <c r="C158" s="202">
        <v>0.05786263570189476</v>
      </c>
      <c r="D158" s="202">
        <v>27.44174575805664</v>
      </c>
      <c r="E158" s="202">
        <v>11.444249153137207</v>
      </c>
      <c r="F158" s="202">
        <v>245.54571533203125</v>
      </c>
      <c r="G158" s="203">
        <v>80.78870391845703</v>
      </c>
      <c r="I158" s="45"/>
      <c r="J158" s="45"/>
      <c r="K158" s="45"/>
    </row>
    <row r="159" spans="1:11" ht="15.75">
      <c r="A159" s="198">
        <v>139</v>
      </c>
      <c r="B159" s="199">
        <v>63.71342468261719</v>
      </c>
      <c r="C159" s="202">
        <v>0.06020347774028778</v>
      </c>
      <c r="D159" s="202">
        <v>27.441471099853516</v>
      </c>
      <c r="E159" s="202">
        <v>9.547287940979004</v>
      </c>
      <c r="F159" s="202">
        <v>246.3427734375</v>
      </c>
      <c r="G159" s="203">
        <v>80.54072570800781</v>
      </c>
      <c r="I159" s="45"/>
      <c r="J159" s="45"/>
      <c r="K159" s="45"/>
    </row>
    <row r="160" spans="1:11" ht="15.75">
      <c r="A160" s="198">
        <v>140</v>
      </c>
      <c r="B160" s="199">
        <v>62.52053451538086</v>
      </c>
      <c r="C160" s="202">
        <v>0.09203646332025528</v>
      </c>
      <c r="D160" s="202">
        <v>27.44168472290039</v>
      </c>
      <c r="E160" s="202">
        <v>7.322335720062256</v>
      </c>
      <c r="F160" s="202">
        <v>246.0009002685547</v>
      </c>
      <c r="G160" s="203">
        <v>80.15142822265625</v>
      </c>
      <c r="I160" s="45"/>
      <c r="J160" s="45"/>
      <c r="K160" s="45"/>
    </row>
    <row r="161" spans="1:11" ht="15.75">
      <c r="A161" s="198">
        <v>141</v>
      </c>
      <c r="B161" s="199">
        <v>60.77520751953125</v>
      </c>
      <c r="C161" s="202">
        <v>0.10784932225942612</v>
      </c>
      <c r="D161" s="202">
        <v>27.441471099853516</v>
      </c>
      <c r="E161" s="202">
        <v>6.9309163093566895</v>
      </c>
      <c r="F161" s="202">
        <v>245.5824737548828</v>
      </c>
      <c r="G161" s="203">
        <v>80.22371673583984</v>
      </c>
      <c r="I161" s="45"/>
      <c r="J161" s="45"/>
      <c r="K161" s="45"/>
    </row>
    <row r="162" spans="1:11" ht="15.75">
      <c r="A162" s="198">
        <v>142</v>
      </c>
      <c r="B162" s="199">
        <v>59.825904846191406</v>
      </c>
      <c r="C162" s="202">
        <v>0.11610322445631027</v>
      </c>
      <c r="D162" s="202">
        <v>27.44150161743164</v>
      </c>
      <c r="E162" s="202">
        <v>7.068653583526611</v>
      </c>
      <c r="F162" s="202">
        <v>243.39942932128906</v>
      </c>
      <c r="G162" s="203">
        <v>80.61924743652344</v>
      </c>
      <c r="I162" s="45"/>
      <c r="J162" s="45"/>
      <c r="K162" s="45"/>
    </row>
    <row r="163" spans="1:11" ht="15.75">
      <c r="A163" s="198">
        <v>143</v>
      </c>
      <c r="B163" s="199">
        <v>58.68082046508789</v>
      </c>
      <c r="C163" s="202">
        <v>0.11073879897594452</v>
      </c>
      <c r="D163" s="202">
        <v>27.44159507751465</v>
      </c>
      <c r="E163" s="202">
        <v>7.362112045288086</v>
      </c>
      <c r="F163" s="202">
        <v>241.52749633789062</v>
      </c>
      <c r="G163" s="203">
        <v>80.87352752685547</v>
      </c>
      <c r="I163" s="45"/>
      <c r="J163" s="45"/>
      <c r="K163" s="45"/>
    </row>
    <row r="164" spans="1:11" ht="15.75">
      <c r="A164" s="198">
        <v>144</v>
      </c>
      <c r="B164" s="199">
        <v>57.70647430419922</v>
      </c>
      <c r="C164" s="202">
        <v>0.08962246775627136</v>
      </c>
      <c r="D164" s="202">
        <v>27.441442489624023</v>
      </c>
      <c r="E164" s="202">
        <v>7.80909538269043</v>
      </c>
      <c r="F164" s="202">
        <v>240.51593017578125</v>
      </c>
      <c r="G164" s="203">
        <v>80.48783111572266</v>
      </c>
      <c r="I164" s="45"/>
      <c r="J164" s="45"/>
      <c r="K164" s="45"/>
    </row>
    <row r="165" spans="1:11" ht="15.75">
      <c r="A165" s="198">
        <v>145</v>
      </c>
      <c r="B165" s="199">
        <v>56.77538299560547</v>
      </c>
      <c r="C165" s="202">
        <v>0.07094451785087585</v>
      </c>
      <c r="D165" s="202">
        <v>27.44162368774414</v>
      </c>
      <c r="E165" s="202">
        <v>9.138738632202148</v>
      </c>
      <c r="F165" s="202">
        <v>239.4881134033203</v>
      </c>
      <c r="G165" s="203">
        <v>80.72892761230469</v>
      </c>
      <c r="I165" s="45"/>
      <c r="J165" s="45"/>
      <c r="K165" s="45"/>
    </row>
    <row r="166" spans="1:11" ht="15.75">
      <c r="A166" s="198">
        <v>146</v>
      </c>
      <c r="B166" s="199">
        <v>55.77220153808594</v>
      </c>
      <c r="C166" s="202">
        <v>0.06287349760532379</v>
      </c>
      <c r="D166" s="202">
        <v>27.441471099853516</v>
      </c>
      <c r="E166" s="202">
        <v>10.082754135131836</v>
      </c>
      <c r="F166" s="202">
        <v>238.50331115722656</v>
      </c>
      <c r="G166" s="203">
        <v>80.93186950683594</v>
      </c>
      <c r="I166" s="45"/>
      <c r="J166" s="45"/>
      <c r="K166" s="45"/>
    </row>
    <row r="167" spans="1:11" ht="15.75">
      <c r="A167" s="198">
        <v>147</v>
      </c>
      <c r="B167" s="199">
        <v>54.82289505004883</v>
      </c>
      <c r="C167" s="202">
        <v>0.06286130845546722</v>
      </c>
      <c r="D167" s="202">
        <v>27.441532135009766</v>
      </c>
      <c r="E167" s="202">
        <v>10.723923683166504</v>
      </c>
      <c r="F167" s="202">
        <v>237.44131469726562</v>
      </c>
      <c r="G167" s="203">
        <v>80.3562240600586</v>
      </c>
      <c r="I167" s="45"/>
      <c r="J167" s="45"/>
      <c r="K167" s="45"/>
    </row>
    <row r="168" spans="1:11" ht="15.75">
      <c r="A168" s="198">
        <v>148</v>
      </c>
      <c r="B168" s="199">
        <v>53.88497543334961</v>
      </c>
      <c r="C168" s="202">
        <v>0.06020347774028778</v>
      </c>
      <c r="D168" s="202">
        <v>27.441776275634766</v>
      </c>
      <c r="E168" s="202">
        <v>11.176942825317383</v>
      </c>
      <c r="F168" s="202">
        <v>236.73875427246094</v>
      </c>
      <c r="G168" s="203">
        <v>80.9574203491211</v>
      </c>
      <c r="I168" s="45"/>
      <c r="J168" s="45"/>
      <c r="K168" s="45"/>
    </row>
    <row r="169" spans="1:11" ht="15.75">
      <c r="A169" s="198">
        <v>149</v>
      </c>
      <c r="B169" s="199">
        <v>52.73533630371094</v>
      </c>
      <c r="C169" s="202">
        <v>0.06021567061543465</v>
      </c>
      <c r="D169" s="202">
        <v>27.441442489624023</v>
      </c>
      <c r="E169" s="202">
        <v>11.284231185913086</v>
      </c>
      <c r="F169" s="202">
        <v>236.79000854492188</v>
      </c>
      <c r="G169" s="203">
        <v>80.50459289550781</v>
      </c>
      <c r="I169" s="45"/>
      <c r="J169" s="45"/>
      <c r="K169" s="45"/>
    </row>
    <row r="170" spans="1:11" ht="15.75">
      <c r="A170" s="198">
        <v>150</v>
      </c>
      <c r="B170" s="199">
        <v>52.767967224121094</v>
      </c>
      <c r="C170" s="202">
        <v>0.06020347774028778</v>
      </c>
      <c r="D170" s="202">
        <v>27.44162368774414</v>
      </c>
      <c r="E170" s="202">
        <v>11.915098190307617</v>
      </c>
      <c r="F170" s="202">
        <v>237.10496520996094</v>
      </c>
      <c r="G170" s="203">
        <v>80.31273651123047</v>
      </c>
      <c r="I170" s="45"/>
      <c r="J170" s="45"/>
      <c r="K170" s="45"/>
    </row>
    <row r="171" spans="1:11" ht="15.75">
      <c r="A171" s="198">
        <v>151</v>
      </c>
      <c r="B171" s="199">
        <v>51.28368377685547</v>
      </c>
      <c r="C171" s="202">
        <v>0.05485124513506889</v>
      </c>
      <c r="D171" s="202">
        <v>27.44150161743164</v>
      </c>
      <c r="E171" s="202">
        <v>12.020740509033203</v>
      </c>
      <c r="F171" s="202">
        <v>237.52867126464844</v>
      </c>
      <c r="G171" s="203">
        <v>80.08560180664062</v>
      </c>
      <c r="I171" s="45"/>
      <c r="J171" s="45"/>
      <c r="K171" s="45"/>
    </row>
    <row r="172" spans="1:11" ht="15.75">
      <c r="A172" s="198">
        <v>152</v>
      </c>
      <c r="B172" s="199">
        <v>50.73808288574219</v>
      </c>
      <c r="C172" s="202">
        <v>0.05782606080174446</v>
      </c>
      <c r="D172" s="202">
        <v>27.441442489624023</v>
      </c>
      <c r="E172" s="202">
        <v>12.206727027893066</v>
      </c>
      <c r="F172" s="202">
        <v>238.8630828857422</v>
      </c>
      <c r="G172" s="203">
        <v>80.30742645263672</v>
      </c>
      <c r="I172" s="45"/>
      <c r="J172" s="45"/>
      <c r="K172" s="45"/>
    </row>
    <row r="173" spans="1:11" ht="15.75">
      <c r="A173" s="198">
        <v>153</v>
      </c>
      <c r="B173" s="199">
        <v>48.83188247680664</v>
      </c>
      <c r="C173" s="202">
        <v>0.06024005264043808</v>
      </c>
      <c r="D173" s="202">
        <v>27.44186782836914</v>
      </c>
      <c r="E173" s="202">
        <v>12.48857307434082</v>
      </c>
      <c r="F173" s="202">
        <v>240.26991271972656</v>
      </c>
      <c r="G173" s="203">
        <v>80.62464141845703</v>
      </c>
      <c r="I173" s="45"/>
      <c r="J173" s="45"/>
      <c r="K173" s="45"/>
    </row>
    <row r="174" spans="1:11" ht="15.75">
      <c r="A174" s="198">
        <v>154</v>
      </c>
      <c r="B174" s="199">
        <v>47.833251953125</v>
      </c>
      <c r="C174" s="202">
        <v>0.06020347774028778</v>
      </c>
      <c r="D174" s="202">
        <v>27.441471099853516</v>
      </c>
      <c r="E174" s="202">
        <v>10.357222557067871</v>
      </c>
      <c r="F174" s="202">
        <v>241.7783203125</v>
      </c>
      <c r="G174" s="203">
        <v>80.8327865600586</v>
      </c>
      <c r="I174" s="45"/>
      <c r="J174" s="45"/>
      <c r="K174" s="45"/>
    </row>
    <row r="175" spans="1:11" ht="15.75">
      <c r="A175" s="198">
        <v>155</v>
      </c>
      <c r="B175" s="199">
        <v>46.7177619934082</v>
      </c>
      <c r="C175" s="202">
        <v>0.06837203353643417</v>
      </c>
      <c r="D175" s="202">
        <v>27.44156265258789</v>
      </c>
      <c r="E175" s="202">
        <v>8.35096263885498</v>
      </c>
      <c r="F175" s="202">
        <v>241.32203674316406</v>
      </c>
      <c r="G175" s="203">
        <v>80.3416976928711</v>
      </c>
      <c r="I175" s="45"/>
      <c r="J175" s="45"/>
      <c r="K175" s="45"/>
    </row>
    <row r="176" spans="1:11" ht="15.75">
      <c r="A176" s="198">
        <v>156</v>
      </c>
      <c r="B176" s="199">
        <v>45.683467864990234</v>
      </c>
      <c r="C176" s="202">
        <v>0.0654703676700592</v>
      </c>
      <c r="D176" s="202">
        <v>27.44150161743164</v>
      </c>
      <c r="E176" s="202">
        <v>7.895139694213867</v>
      </c>
      <c r="F176" s="202">
        <v>240.6608428955078</v>
      </c>
      <c r="G176" s="203">
        <v>80.09040069580078</v>
      </c>
      <c r="I176" s="45"/>
      <c r="J176" s="45"/>
      <c r="K176" s="45"/>
    </row>
    <row r="177" spans="1:11" ht="15.75">
      <c r="A177" s="198">
        <v>157</v>
      </c>
      <c r="B177" s="199">
        <v>44.712158203125</v>
      </c>
      <c r="C177" s="202">
        <v>0.06837203353643417</v>
      </c>
      <c r="D177" s="202">
        <v>27.441410064697266</v>
      </c>
      <c r="E177" s="202">
        <v>8.022574424743652</v>
      </c>
      <c r="F177" s="202">
        <v>239.20387268066406</v>
      </c>
      <c r="G177" s="203">
        <v>79.91172790527344</v>
      </c>
      <c r="I177" s="45"/>
      <c r="J177" s="45"/>
      <c r="K177" s="45"/>
    </row>
    <row r="178" spans="1:11" ht="15.75">
      <c r="A178" s="198">
        <v>158</v>
      </c>
      <c r="B178" s="199">
        <v>43.793968200683594</v>
      </c>
      <c r="C178" s="202">
        <v>0.06544598191976547</v>
      </c>
      <c r="D178" s="202">
        <v>27.441715240478516</v>
      </c>
      <c r="E178" s="202">
        <v>8.991704940795898</v>
      </c>
      <c r="F178" s="202">
        <v>238.53753662109375</v>
      </c>
      <c r="G178" s="203">
        <v>80.21607208251953</v>
      </c>
      <c r="I178" s="45"/>
      <c r="J178" s="45"/>
      <c r="K178" s="45"/>
    </row>
    <row r="179" spans="1:11" ht="15.75">
      <c r="A179" s="198">
        <v>159</v>
      </c>
      <c r="B179" s="199">
        <v>43.2711296081543</v>
      </c>
      <c r="C179" s="202">
        <v>0.060227859765291214</v>
      </c>
      <c r="D179" s="202">
        <v>27.441410064697266</v>
      </c>
      <c r="E179" s="202">
        <v>9.60077953338623</v>
      </c>
      <c r="F179" s="202">
        <v>237.85552978515625</v>
      </c>
      <c r="G179" s="203">
        <v>80.656982421875</v>
      </c>
      <c r="I179" s="45"/>
      <c r="J179" s="45"/>
      <c r="K179" s="45"/>
    </row>
    <row r="180" spans="1:11" ht="15.75">
      <c r="A180" s="198">
        <v>160</v>
      </c>
      <c r="B180" s="199">
        <v>41.84527587890625</v>
      </c>
      <c r="C180" s="202">
        <v>0.05780167877674103</v>
      </c>
      <c r="D180" s="202">
        <v>27.441532135009766</v>
      </c>
      <c r="E180" s="202">
        <v>10.396389961242676</v>
      </c>
      <c r="F180" s="202">
        <v>237.14256286621094</v>
      </c>
      <c r="G180" s="203">
        <v>80.05718231201172</v>
      </c>
      <c r="I180" s="45"/>
      <c r="J180" s="45"/>
      <c r="K180" s="45"/>
    </row>
    <row r="181" spans="1:11" ht="15.75">
      <c r="A181" s="198">
        <v>161</v>
      </c>
      <c r="B181" s="199">
        <v>41.86728286743164</v>
      </c>
      <c r="C181" s="202">
        <v>0.05778948590159416</v>
      </c>
      <c r="D181" s="202">
        <v>27.44168472290039</v>
      </c>
      <c r="E181" s="202">
        <v>11.33065128326416</v>
      </c>
      <c r="F181" s="202">
        <v>236.57867431640625</v>
      </c>
      <c r="G181" s="203">
        <v>80.51773071289062</v>
      </c>
      <c r="I181" s="45"/>
      <c r="J181" s="45"/>
      <c r="K181" s="45"/>
    </row>
    <row r="182" spans="1:11" ht="15.75">
      <c r="A182" s="198">
        <v>162</v>
      </c>
      <c r="B182" s="199">
        <v>40.65921401977539</v>
      </c>
      <c r="C182" s="202">
        <v>0.05780167877674103</v>
      </c>
      <c r="D182" s="202">
        <v>27.441410064697266</v>
      </c>
      <c r="E182" s="202">
        <v>11.704818725585938</v>
      </c>
      <c r="F182" s="202">
        <v>235.74940490722656</v>
      </c>
      <c r="G182" s="203">
        <v>80.43049621582031</v>
      </c>
      <c r="I182" s="45"/>
      <c r="J182" s="45"/>
      <c r="K182" s="45"/>
    </row>
    <row r="183" spans="1:11" ht="15.75">
      <c r="A183" s="198">
        <v>163</v>
      </c>
      <c r="B183" s="199">
        <v>39.70763397216797</v>
      </c>
      <c r="C183" s="202">
        <v>0.06020347774028778</v>
      </c>
      <c r="D183" s="202">
        <v>27.44150161743164</v>
      </c>
      <c r="E183" s="202">
        <v>12.027933120727539</v>
      </c>
      <c r="F183" s="202">
        <v>234.8966827392578</v>
      </c>
      <c r="G183" s="203">
        <v>80.10984802246094</v>
      </c>
      <c r="I183" s="45"/>
      <c r="J183" s="45"/>
      <c r="K183" s="45"/>
    </row>
    <row r="184" spans="1:11" ht="15.75">
      <c r="A184" s="198">
        <v>164</v>
      </c>
      <c r="B184" s="199">
        <v>38.762882232666016</v>
      </c>
      <c r="C184" s="202">
        <v>0.05782606080174446</v>
      </c>
      <c r="D184" s="202">
        <v>27.44137954711914</v>
      </c>
      <c r="E184" s="202">
        <v>12.43386173248291</v>
      </c>
      <c r="F184" s="202">
        <v>234.2176055908203</v>
      </c>
      <c r="G184" s="203">
        <v>79.90799713134766</v>
      </c>
      <c r="I184" s="45"/>
      <c r="J184" s="45"/>
      <c r="K184" s="45"/>
    </row>
    <row r="185" spans="1:11" ht="15.75">
      <c r="A185" s="198">
        <v>165</v>
      </c>
      <c r="B185" s="199">
        <v>37.76728820800781</v>
      </c>
      <c r="C185" s="202">
        <v>0.06021567061543465</v>
      </c>
      <c r="D185" s="202">
        <v>27.441410064697266</v>
      </c>
      <c r="E185" s="202">
        <v>13.042661666870117</v>
      </c>
      <c r="F185" s="202">
        <v>234.35464477539062</v>
      </c>
      <c r="G185" s="203">
        <v>80.35140228271484</v>
      </c>
      <c r="I185" s="45"/>
      <c r="J185" s="45"/>
      <c r="K185" s="45"/>
    </row>
    <row r="186" spans="1:11" ht="15.75">
      <c r="A186" s="198">
        <v>166</v>
      </c>
      <c r="B186" s="199">
        <v>37.79840087890625</v>
      </c>
      <c r="C186" s="202">
        <v>0.06020347774028778</v>
      </c>
      <c r="D186" s="202">
        <v>27.441654205322266</v>
      </c>
      <c r="E186" s="202">
        <v>13.565936088562012</v>
      </c>
      <c r="F186" s="202">
        <v>234.17410278320312</v>
      </c>
      <c r="G186" s="203">
        <v>80.50387573242188</v>
      </c>
      <c r="I186" s="45"/>
      <c r="J186" s="45"/>
      <c r="K186" s="45"/>
    </row>
    <row r="187" spans="1:11" ht="15.75">
      <c r="A187" s="198">
        <v>167</v>
      </c>
      <c r="B187" s="199">
        <v>36.856685638427734</v>
      </c>
      <c r="C187" s="202">
        <v>0.057813871651887894</v>
      </c>
      <c r="D187" s="202">
        <v>27.44137954711914</v>
      </c>
      <c r="E187" s="202">
        <v>13.131509780883789</v>
      </c>
      <c r="F187" s="202">
        <v>233.90126037597656</v>
      </c>
      <c r="G187" s="203">
        <v>80.19659423828125</v>
      </c>
      <c r="I187" s="45"/>
      <c r="J187" s="45"/>
      <c r="K187" s="45"/>
    </row>
    <row r="188" spans="1:11" ht="15.75">
      <c r="A188" s="198">
        <v>168</v>
      </c>
      <c r="B188" s="199">
        <v>35.86640167236328</v>
      </c>
      <c r="C188" s="202">
        <v>0.05780167877674103</v>
      </c>
      <c r="D188" s="202">
        <v>27.441471099853516</v>
      </c>
      <c r="E188" s="202">
        <v>13.35745620727539</v>
      </c>
      <c r="F188" s="202">
        <v>234.59376525878906</v>
      </c>
      <c r="G188" s="203">
        <v>80.21516418457031</v>
      </c>
      <c r="I188" s="45"/>
      <c r="J188" s="45"/>
      <c r="K188" s="45"/>
    </row>
    <row r="189" spans="1:11" ht="15.75">
      <c r="A189" s="198">
        <v>169</v>
      </c>
      <c r="B189" s="199">
        <v>34.70310592651367</v>
      </c>
      <c r="C189" s="202">
        <v>0.060191284865140915</v>
      </c>
      <c r="D189" s="202">
        <v>27.441715240478516</v>
      </c>
      <c r="E189" s="202">
        <v>14.012737274169922</v>
      </c>
      <c r="F189" s="202">
        <v>235.1598358154297</v>
      </c>
      <c r="G189" s="203">
        <v>79.54871368408203</v>
      </c>
      <c r="I189" s="45"/>
      <c r="J189" s="45"/>
      <c r="K189" s="45"/>
    </row>
    <row r="190" spans="1:11" ht="15.75">
      <c r="A190" s="198">
        <v>170</v>
      </c>
      <c r="B190" s="199">
        <v>33.78718948364258</v>
      </c>
      <c r="C190" s="202">
        <v>0.05778948590159416</v>
      </c>
      <c r="D190" s="202">
        <v>27.44137954711914</v>
      </c>
      <c r="E190" s="202">
        <v>13.887434959411621</v>
      </c>
      <c r="F190" s="202">
        <v>235.9523468017578</v>
      </c>
      <c r="G190" s="203">
        <v>80.16181945800781</v>
      </c>
      <c r="I190" s="45"/>
      <c r="J190" s="45"/>
      <c r="K190" s="45"/>
    </row>
    <row r="191" spans="1:11" ht="15.75">
      <c r="A191" s="198">
        <v>171</v>
      </c>
      <c r="B191" s="199">
        <v>32.81739807128906</v>
      </c>
      <c r="C191" s="202">
        <v>0.06284911185503006</v>
      </c>
      <c r="D191" s="202">
        <v>27.441471099853516</v>
      </c>
      <c r="E191" s="202">
        <v>13.881888389587402</v>
      </c>
      <c r="F191" s="202">
        <v>236.51515197753906</v>
      </c>
      <c r="G191" s="203">
        <v>79.31768798828125</v>
      </c>
      <c r="I191" s="45"/>
      <c r="J191" s="45"/>
      <c r="K191" s="45"/>
    </row>
    <row r="192" spans="1:11" ht="15.75">
      <c r="A192" s="198">
        <v>172</v>
      </c>
      <c r="B192" s="199">
        <v>32.78248977661133</v>
      </c>
      <c r="C192" s="202">
        <v>0.06016690284013748</v>
      </c>
      <c r="D192" s="202">
        <v>27.441715240478516</v>
      </c>
      <c r="E192" s="202">
        <v>13.987285614013672</v>
      </c>
      <c r="F192" s="202">
        <v>236.3658905029297</v>
      </c>
      <c r="G192" s="203">
        <v>79.93714904785156</v>
      </c>
      <c r="I192" s="45"/>
      <c r="J192" s="45"/>
      <c r="K192" s="45"/>
    </row>
    <row r="193" spans="1:11" ht="15.75">
      <c r="A193" s="198">
        <v>173</v>
      </c>
      <c r="B193" s="199">
        <v>31.838499069213867</v>
      </c>
      <c r="C193" s="202">
        <v>0.06284911185503006</v>
      </c>
      <c r="D193" s="202">
        <v>27.44137954711914</v>
      </c>
      <c r="E193" s="202">
        <v>13.670969009399414</v>
      </c>
      <c r="F193" s="202">
        <v>236.69110107421875</v>
      </c>
      <c r="G193" s="203">
        <v>79.38551330566406</v>
      </c>
      <c r="I193" s="45"/>
      <c r="J193" s="45"/>
      <c r="K193" s="45"/>
    </row>
    <row r="194" spans="1:11" ht="15.75">
      <c r="A194" s="198">
        <v>174</v>
      </c>
      <c r="B194" s="199">
        <v>30.893749237060547</v>
      </c>
      <c r="C194" s="202">
        <v>0.06283692270517349</v>
      </c>
      <c r="D194" s="202">
        <v>27.441442489624023</v>
      </c>
      <c r="E194" s="202">
        <v>13.707880020141602</v>
      </c>
      <c r="F194" s="202">
        <v>236.35487365722656</v>
      </c>
      <c r="G194" s="203">
        <v>79.63089752197266</v>
      </c>
      <c r="I194" s="45"/>
      <c r="J194" s="45"/>
      <c r="K194" s="45"/>
    </row>
    <row r="195" spans="1:11" ht="15.75">
      <c r="A195" s="198">
        <v>175</v>
      </c>
      <c r="B195" s="199">
        <v>29.84427833557129</v>
      </c>
      <c r="C195" s="202">
        <v>0.06284911185503006</v>
      </c>
      <c r="D195" s="202">
        <v>27.44168472290039</v>
      </c>
      <c r="E195" s="202">
        <v>14.112619400024414</v>
      </c>
      <c r="F195" s="202">
        <v>236.98529052734375</v>
      </c>
      <c r="G195" s="203">
        <v>80.18087768554688</v>
      </c>
      <c r="I195" s="45"/>
      <c r="J195" s="45"/>
      <c r="K195" s="45"/>
    </row>
    <row r="196" spans="1:11" ht="15.75">
      <c r="A196" s="198">
        <v>176</v>
      </c>
      <c r="B196" s="199">
        <v>28.713611602783203</v>
      </c>
      <c r="C196" s="202">
        <v>0.06017909198999405</v>
      </c>
      <c r="D196" s="202">
        <v>27.441410064697266</v>
      </c>
      <c r="E196" s="202">
        <v>14.338899612426758</v>
      </c>
      <c r="F196" s="202">
        <v>237.0262908935547</v>
      </c>
      <c r="G196" s="203">
        <v>79.72917175292969</v>
      </c>
      <c r="I196" s="45"/>
      <c r="J196" s="45"/>
      <c r="K196" s="45"/>
    </row>
    <row r="197" spans="1:11" ht="15.75">
      <c r="A197" s="198">
        <v>177</v>
      </c>
      <c r="B197" s="199">
        <v>28.736377716064453</v>
      </c>
      <c r="C197" s="202">
        <v>0.06024005264043808</v>
      </c>
      <c r="D197" s="202">
        <v>27.44150161743164</v>
      </c>
      <c r="E197" s="202">
        <v>14.540887832641602</v>
      </c>
      <c r="F197" s="202">
        <v>237.44349670410156</v>
      </c>
      <c r="G197" s="203">
        <v>80.47557067871094</v>
      </c>
      <c r="I197" s="45"/>
      <c r="J197" s="45"/>
      <c r="K197" s="45"/>
    </row>
    <row r="198" spans="1:11" ht="15.75">
      <c r="A198" s="198">
        <v>178</v>
      </c>
      <c r="B198" s="199">
        <v>27.72636604309082</v>
      </c>
      <c r="C198" s="202">
        <v>0.06017909198999405</v>
      </c>
      <c r="D198" s="202">
        <v>27.441532135009766</v>
      </c>
      <c r="E198" s="202">
        <v>14.540948867797852</v>
      </c>
      <c r="F198" s="202">
        <v>237.6183624267578</v>
      </c>
      <c r="G198" s="203">
        <v>81.00072479248047</v>
      </c>
      <c r="I198" s="45"/>
      <c r="J198" s="45"/>
      <c r="K198" s="45"/>
    </row>
    <row r="199" spans="1:11" ht="15.75">
      <c r="A199" s="198">
        <v>179</v>
      </c>
      <c r="B199" s="199">
        <v>26.72242546081543</v>
      </c>
      <c r="C199" s="202">
        <v>0.06020347774028778</v>
      </c>
      <c r="D199" s="202">
        <v>27.441471099853516</v>
      </c>
      <c r="E199" s="202">
        <v>14.37867546081543</v>
      </c>
      <c r="F199" s="202">
        <v>237.9884490966797</v>
      </c>
      <c r="G199" s="203">
        <v>80.75608825683594</v>
      </c>
      <c r="I199" s="45"/>
      <c r="J199" s="45"/>
      <c r="K199" s="45"/>
    </row>
    <row r="200" spans="1:11" ht="15.75">
      <c r="A200" s="198">
        <v>180</v>
      </c>
      <c r="B200" s="199">
        <v>26.755054473876953</v>
      </c>
      <c r="C200" s="202">
        <v>0.06021567061543465</v>
      </c>
      <c r="D200" s="202">
        <v>27.441442489624023</v>
      </c>
      <c r="E200" s="202">
        <v>14.345635414123535</v>
      </c>
      <c r="F200" s="202">
        <v>238.4188690185547</v>
      </c>
      <c r="G200" s="203">
        <v>80.39627075195312</v>
      </c>
      <c r="I200" s="45"/>
      <c r="J200" s="45"/>
      <c r="K200" s="45"/>
    </row>
    <row r="201" spans="1:11" ht="15.75">
      <c r="A201" s="198">
        <v>181</v>
      </c>
      <c r="B201" s="199">
        <v>25.81941032409668</v>
      </c>
      <c r="C201" s="202">
        <v>0.060227859765291214</v>
      </c>
      <c r="D201" s="202">
        <v>27.441442489624023</v>
      </c>
      <c r="E201" s="202">
        <v>14.005818367004395</v>
      </c>
      <c r="F201" s="202">
        <v>239.03106689453125</v>
      </c>
      <c r="G201" s="203">
        <v>80.69843292236328</v>
      </c>
      <c r="I201" s="45"/>
      <c r="J201" s="45"/>
      <c r="K201" s="45"/>
    </row>
    <row r="202" spans="1:11" ht="15.75">
      <c r="A202" s="198">
        <v>182</v>
      </c>
      <c r="B202" s="199">
        <v>25.793607711791992</v>
      </c>
      <c r="C202" s="202">
        <v>0.06834764778614044</v>
      </c>
      <c r="D202" s="202">
        <v>27.44131851196289</v>
      </c>
      <c r="E202" s="202">
        <v>13.688616752624512</v>
      </c>
      <c r="F202" s="202">
        <v>239.3527374267578</v>
      </c>
      <c r="G202" s="203">
        <v>81.0727310180664</v>
      </c>
      <c r="I202" s="45"/>
      <c r="J202" s="45"/>
      <c r="K202" s="45"/>
    </row>
    <row r="203" spans="1:11" ht="15.75">
      <c r="A203" s="198">
        <v>183</v>
      </c>
      <c r="B203" s="199">
        <v>24.79953384399414</v>
      </c>
      <c r="C203" s="202">
        <v>0.07096890360116959</v>
      </c>
      <c r="D203" s="202">
        <v>27.44150161743164</v>
      </c>
      <c r="E203" s="202">
        <v>13.64841365814209</v>
      </c>
      <c r="F203" s="202">
        <v>239.72280883789062</v>
      </c>
      <c r="G203" s="203">
        <v>80.65245819091797</v>
      </c>
      <c r="I203" s="45"/>
      <c r="J203" s="45"/>
      <c r="K203" s="45"/>
    </row>
    <row r="204" spans="1:11" ht="15.75">
      <c r="A204" s="198">
        <v>184</v>
      </c>
      <c r="B204" s="199">
        <v>23.848711013793945</v>
      </c>
      <c r="C204" s="202">
        <v>0.07090794295072556</v>
      </c>
      <c r="D204" s="202">
        <v>27.441410064697266</v>
      </c>
      <c r="E204" s="202">
        <v>13.350993156433105</v>
      </c>
      <c r="F204" s="202">
        <v>240.48605346679688</v>
      </c>
      <c r="G204" s="203">
        <v>80.1541976928711</v>
      </c>
      <c r="I204" s="45"/>
      <c r="J204" s="45"/>
      <c r="K204" s="45"/>
    </row>
    <row r="205" spans="1:11" ht="15.75">
      <c r="A205" s="198">
        <v>185</v>
      </c>
      <c r="B205" s="199">
        <v>22.705904006958008</v>
      </c>
      <c r="C205" s="202">
        <v>0.07092013210058212</v>
      </c>
      <c r="D205" s="202">
        <v>27.44137954711914</v>
      </c>
      <c r="E205" s="202">
        <v>13.095453262329102</v>
      </c>
      <c r="F205" s="202">
        <v>240.44740295410156</v>
      </c>
      <c r="G205" s="203">
        <v>80.80120086669922</v>
      </c>
      <c r="I205" s="45"/>
      <c r="J205" s="45"/>
      <c r="K205" s="45"/>
    </row>
    <row r="206" spans="1:11" ht="15.75">
      <c r="A206" s="198">
        <v>186</v>
      </c>
      <c r="B206" s="199">
        <v>22.70514488220215</v>
      </c>
      <c r="C206" s="202">
        <v>0.0683598443865776</v>
      </c>
      <c r="D206" s="202">
        <v>27.441532135009766</v>
      </c>
      <c r="E206" s="202">
        <v>13.117032051086426</v>
      </c>
      <c r="F206" s="202">
        <v>240.24185180664062</v>
      </c>
      <c r="G206" s="203">
        <v>80.16610717773438</v>
      </c>
      <c r="I206" s="45"/>
      <c r="J206" s="45"/>
      <c r="K206" s="45"/>
    </row>
    <row r="207" spans="1:11" ht="15.75">
      <c r="A207" s="198">
        <v>187</v>
      </c>
      <c r="B207" s="199">
        <v>21.710309982299805</v>
      </c>
      <c r="C207" s="202">
        <v>0.06287349760532379</v>
      </c>
      <c r="D207" s="202">
        <v>27.441410064697266</v>
      </c>
      <c r="E207" s="202">
        <v>13.08149242401123</v>
      </c>
      <c r="F207" s="202">
        <v>240.12667846679688</v>
      </c>
      <c r="G207" s="203">
        <v>80.63288879394531</v>
      </c>
      <c r="I207" s="45"/>
      <c r="J207" s="45"/>
      <c r="K207" s="45"/>
    </row>
    <row r="208" spans="1:11" ht="15.75">
      <c r="A208" s="198">
        <v>188</v>
      </c>
      <c r="B208" s="199">
        <v>20.787565231323242</v>
      </c>
      <c r="C208" s="202">
        <v>0.06288568675518036</v>
      </c>
      <c r="D208" s="202">
        <v>27.44137954711914</v>
      </c>
      <c r="E208" s="202">
        <v>13.593092918395996</v>
      </c>
      <c r="F208" s="202">
        <v>238.88356018066406</v>
      </c>
      <c r="G208" s="203">
        <v>80.39788818359375</v>
      </c>
      <c r="I208" s="45"/>
      <c r="J208" s="45"/>
      <c r="K208" s="45"/>
    </row>
    <row r="209" spans="1:11" ht="15.75">
      <c r="A209" s="198">
        <v>189</v>
      </c>
      <c r="B209" s="199">
        <v>20.81108856201172</v>
      </c>
      <c r="C209" s="202">
        <v>0.06837203353643417</v>
      </c>
      <c r="D209" s="202">
        <v>27.44159507751465</v>
      </c>
      <c r="E209" s="202">
        <v>13.934465408325195</v>
      </c>
      <c r="F209" s="202">
        <v>238.3415069580078</v>
      </c>
      <c r="G209" s="203">
        <v>80.99266052246094</v>
      </c>
      <c r="I209" s="45"/>
      <c r="J209" s="45"/>
      <c r="K209" s="45"/>
    </row>
    <row r="210" spans="1:11" ht="15.75">
      <c r="A210" s="198">
        <v>190</v>
      </c>
      <c r="B210" s="199">
        <v>19.735816955566406</v>
      </c>
      <c r="C210" s="202">
        <v>0.07093232870101929</v>
      </c>
      <c r="D210" s="202">
        <v>27.441442489624023</v>
      </c>
      <c r="E210" s="202">
        <v>14.21856689453125</v>
      </c>
      <c r="F210" s="202">
        <v>238.112060546875</v>
      </c>
      <c r="G210" s="203">
        <v>80.65857696533203</v>
      </c>
      <c r="I210" s="45"/>
      <c r="J210" s="45"/>
      <c r="K210" s="45"/>
    </row>
    <row r="211" spans="1:11" ht="15.75">
      <c r="A211" s="198">
        <v>191</v>
      </c>
      <c r="B211" s="199">
        <v>19.779830932617188</v>
      </c>
      <c r="C211" s="202">
        <v>0.0683598443865776</v>
      </c>
      <c r="D211" s="202">
        <v>27.441471099853516</v>
      </c>
      <c r="E211" s="202">
        <v>14.307901382446289</v>
      </c>
      <c r="F211" s="202">
        <v>238.36331176757812</v>
      </c>
      <c r="G211" s="203">
        <v>80.53841400146484</v>
      </c>
      <c r="I211" s="45"/>
      <c r="J211" s="45"/>
      <c r="K211" s="45"/>
    </row>
    <row r="212" spans="1:11" ht="15.75">
      <c r="A212" s="198">
        <v>192</v>
      </c>
      <c r="B212" s="199">
        <v>18.781959533691406</v>
      </c>
      <c r="C212" s="202">
        <v>0.07090794295072556</v>
      </c>
      <c r="D212" s="202">
        <v>27.44186782836914</v>
      </c>
      <c r="E212" s="202">
        <v>14.445974349975586</v>
      </c>
      <c r="F212" s="202">
        <v>237.86944580078125</v>
      </c>
      <c r="G212" s="203">
        <v>80.35087585449219</v>
      </c>
      <c r="I212" s="45"/>
      <c r="J212" s="45"/>
      <c r="K212" s="45"/>
    </row>
    <row r="213" spans="1:11" ht="15.75">
      <c r="A213" s="198">
        <v>193</v>
      </c>
      <c r="B213" s="199">
        <v>17.86225128173828</v>
      </c>
      <c r="C213" s="202">
        <v>0.0683598443865776</v>
      </c>
      <c r="D213" s="202">
        <v>27.441442489624023</v>
      </c>
      <c r="E213" s="202">
        <v>14.218596458435059</v>
      </c>
      <c r="F213" s="202">
        <v>237.96717834472656</v>
      </c>
      <c r="G213" s="203">
        <v>80.19316864013672</v>
      </c>
      <c r="I213" s="45"/>
      <c r="J213" s="45"/>
      <c r="K213" s="45"/>
    </row>
    <row r="214" spans="1:11" ht="15.75">
      <c r="A214" s="198">
        <v>194</v>
      </c>
      <c r="B214" s="199">
        <v>17.859975814819336</v>
      </c>
      <c r="C214" s="202">
        <v>0.07092013210058212</v>
      </c>
      <c r="D214" s="202">
        <v>27.44137954711914</v>
      </c>
      <c r="E214" s="202">
        <v>14.279373168945312</v>
      </c>
      <c r="F214" s="202">
        <v>238.2418975830078</v>
      </c>
      <c r="G214" s="203">
        <v>80.60749053955078</v>
      </c>
      <c r="I214" s="45"/>
      <c r="J214" s="45"/>
      <c r="K214" s="45"/>
    </row>
    <row r="215" spans="1:11" ht="15.75">
      <c r="A215" s="198">
        <v>195</v>
      </c>
      <c r="B215" s="199">
        <v>16.719444274902344</v>
      </c>
      <c r="C215" s="202">
        <v>0.07092013210058212</v>
      </c>
      <c r="D215" s="202">
        <v>27.44159507751465</v>
      </c>
      <c r="E215" s="202">
        <v>14.692279815673828</v>
      </c>
      <c r="F215" s="202">
        <v>238.92962646484375</v>
      </c>
      <c r="G215" s="203">
        <v>80.66548156738281</v>
      </c>
      <c r="I215" s="45"/>
      <c r="J215" s="45"/>
      <c r="K215" s="45"/>
    </row>
    <row r="216" spans="1:11" ht="15.75">
      <c r="A216" s="198">
        <v>196</v>
      </c>
      <c r="B216" s="199">
        <v>16.726272583007812</v>
      </c>
      <c r="C216" s="202">
        <v>0.07093232870101929</v>
      </c>
      <c r="D216" s="202">
        <v>27.44137954711914</v>
      </c>
      <c r="E216" s="202">
        <v>14.508152961730957</v>
      </c>
      <c r="F216" s="202">
        <v>239.3802947998047</v>
      </c>
      <c r="G216" s="203">
        <v>80.51800537109375</v>
      </c>
      <c r="I216" s="45"/>
      <c r="J216" s="45"/>
      <c r="K216" s="45"/>
    </row>
    <row r="217" spans="1:11" ht="15.75">
      <c r="A217" s="198">
        <v>197</v>
      </c>
      <c r="B217" s="199">
        <v>15.778485298156738</v>
      </c>
      <c r="C217" s="202">
        <v>0.07092013210058212</v>
      </c>
      <c r="D217" s="202">
        <v>27.441349029541016</v>
      </c>
      <c r="E217" s="202">
        <v>14.185861587524414</v>
      </c>
      <c r="F217" s="202">
        <v>239.38648986816406</v>
      </c>
      <c r="G217" s="203">
        <v>80.11588287353516</v>
      </c>
      <c r="I217" s="45"/>
      <c r="J217" s="45"/>
      <c r="K217" s="45"/>
    </row>
    <row r="218" spans="1:11" ht="15.75">
      <c r="A218" s="198">
        <v>198</v>
      </c>
      <c r="B218" s="199">
        <v>15.773933410644531</v>
      </c>
      <c r="C218" s="202">
        <v>0.07090794295072556</v>
      </c>
      <c r="D218" s="202">
        <v>27.44168472290039</v>
      </c>
      <c r="E218" s="202">
        <v>14.372182846069336</v>
      </c>
      <c r="F218" s="202">
        <v>239.7471923828125</v>
      </c>
      <c r="G218" s="203">
        <v>79.91569519042969</v>
      </c>
      <c r="I218" s="45"/>
      <c r="J218" s="45"/>
      <c r="K218" s="45"/>
    </row>
    <row r="219" spans="1:11" ht="15.75">
      <c r="A219" s="198">
        <v>199</v>
      </c>
      <c r="B219" s="199">
        <v>14.776062965393066</v>
      </c>
      <c r="C219" s="202">
        <v>0.07373645901679993</v>
      </c>
      <c r="D219" s="202">
        <v>27.441349029541016</v>
      </c>
      <c r="E219" s="202">
        <v>13.944767951965332</v>
      </c>
      <c r="F219" s="202">
        <v>240.0834503173828</v>
      </c>
      <c r="G219" s="203">
        <v>79.97776794433594</v>
      </c>
      <c r="I219" s="45"/>
      <c r="J219" s="45"/>
      <c r="K219" s="45"/>
    </row>
    <row r="220" spans="1:11" ht="15.75">
      <c r="A220" s="198">
        <v>200</v>
      </c>
      <c r="B220" s="199">
        <v>13.810063362121582</v>
      </c>
      <c r="C220" s="202">
        <v>0.07092013210058212</v>
      </c>
      <c r="D220" s="202">
        <v>27.441349029541016</v>
      </c>
      <c r="E220" s="202">
        <v>13.939189910888672</v>
      </c>
      <c r="F220" s="202">
        <v>239.81594848632812</v>
      </c>
      <c r="G220" s="203">
        <v>80.82845306396484</v>
      </c>
      <c r="I220" s="45"/>
      <c r="J220" s="45"/>
      <c r="K220" s="45"/>
    </row>
    <row r="221" spans="1:11" ht="15.75">
      <c r="A221" s="198">
        <v>201</v>
      </c>
      <c r="B221" s="199">
        <v>13.810822486877441</v>
      </c>
      <c r="C221" s="202">
        <v>0.0737486481666565</v>
      </c>
      <c r="D221" s="202">
        <v>27.44162368774414</v>
      </c>
      <c r="E221" s="202">
        <v>14.201131820678711</v>
      </c>
      <c r="F221" s="202">
        <v>239.45108032226562</v>
      </c>
      <c r="G221" s="203">
        <v>80.10635375976562</v>
      </c>
      <c r="I221" s="45"/>
      <c r="J221" s="45"/>
      <c r="K221" s="45"/>
    </row>
    <row r="222" spans="1:11" ht="15.75">
      <c r="A222" s="198">
        <v>202</v>
      </c>
      <c r="B222" s="199">
        <v>12.850894927978516</v>
      </c>
      <c r="C222" s="202">
        <v>0.07372426986694336</v>
      </c>
      <c r="D222" s="202">
        <v>27.44125747680664</v>
      </c>
      <c r="E222" s="202">
        <v>13.993016242980957</v>
      </c>
      <c r="F222" s="202">
        <v>240.242431640625</v>
      </c>
      <c r="G222" s="203">
        <v>80.3861312866211</v>
      </c>
      <c r="I222" s="45"/>
      <c r="J222" s="45"/>
      <c r="K222" s="45"/>
    </row>
    <row r="223" spans="1:11" ht="15.75">
      <c r="A223" s="198"/>
      <c r="B223" s="199">
        <v>12.88731861114502</v>
      </c>
      <c r="C223" s="202">
        <v>0.07651620358228683</v>
      </c>
      <c r="D223" s="202">
        <v>27.441442489624023</v>
      </c>
      <c r="E223" s="202">
        <v>14.212287902832031</v>
      </c>
      <c r="F223" s="202">
        <v>240.43182373046875</v>
      </c>
      <c r="G223" s="203">
        <v>79.89192962646484</v>
      </c>
      <c r="I223" s="45"/>
      <c r="J223" s="45"/>
      <c r="K223" s="45"/>
    </row>
    <row r="224" spans="1:11" ht="15.75">
      <c r="A224" s="198"/>
      <c r="B224" s="199">
        <v>11.898554801940918</v>
      </c>
      <c r="C224" s="202">
        <v>0.08188062906265259</v>
      </c>
      <c r="D224" s="202">
        <v>27.441532135009766</v>
      </c>
      <c r="E224" s="202">
        <v>14.51534652709961</v>
      </c>
      <c r="F224" s="202">
        <v>241.33749389648438</v>
      </c>
      <c r="G224" s="203">
        <v>80.5142593383789</v>
      </c>
      <c r="I224" s="45"/>
      <c r="J224" s="45"/>
      <c r="K224" s="45"/>
    </row>
    <row r="225" spans="1:11" ht="15.75">
      <c r="A225" s="198"/>
      <c r="B225" s="199">
        <v>11.91980266571045</v>
      </c>
      <c r="C225" s="202">
        <v>0.08185624331235886</v>
      </c>
      <c r="D225" s="202">
        <v>27.44137954711914</v>
      </c>
      <c r="E225" s="202">
        <v>14.126152038574219</v>
      </c>
      <c r="F225" s="202">
        <v>241.21351623535156</v>
      </c>
      <c r="G225" s="203">
        <v>80.81010437011719</v>
      </c>
      <c r="I225" s="45"/>
      <c r="J225" s="45"/>
      <c r="K225" s="45"/>
    </row>
    <row r="226" spans="1:11" ht="15.75">
      <c r="A226" s="198"/>
      <c r="B226" s="199">
        <v>10.799759864807129</v>
      </c>
      <c r="C226" s="202">
        <v>0.08188062906265259</v>
      </c>
      <c r="D226" s="202">
        <v>27.44137954711914</v>
      </c>
      <c r="E226" s="202">
        <v>13.839643478393555</v>
      </c>
      <c r="F226" s="202">
        <v>241.7652587890625</v>
      </c>
      <c r="G226" s="203">
        <v>80.69149780273438</v>
      </c>
      <c r="I226" s="45"/>
      <c r="J226" s="45"/>
      <c r="K226" s="45"/>
    </row>
    <row r="227" spans="1:11" ht="15.75">
      <c r="A227" s="198"/>
      <c r="B227" s="199">
        <v>10.760300636291504</v>
      </c>
      <c r="C227" s="202">
        <v>0.08186843991279602</v>
      </c>
      <c r="D227" s="202">
        <v>27.44159507751465</v>
      </c>
      <c r="E227" s="202">
        <v>13.635491371154785</v>
      </c>
      <c r="F227" s="202">
        <v>241.614013671875</v>
      </c>
      <c r="G227" s="203">
        <v>80.43318939208984</v>
      </c>
      <c r="I227" s="45"/>
      <c r="J227" s="45"/>
      <c r="K227" s="45"/>
    </row>
    <row r="228" spans="1:11" ht="15.75">
      <c r="A228" s="198"/>
      <c r="B228" s="199">
        <v>9.782918930053711</v>
      </c>
      <c r="C228" s="202">
        <v>0.08188062906265259</v>
      </c>
      <c r="D228" s="202">
        <v>27.4412899017334</v>
      </c>
      <c r="E228" s="202">
        <v>13.627595901489258</v>
      </c>
      <c r="F228" s="202">
        <v>240.823486328125</v>
      </c>
      <c r="G228" s="203">
        <v>80.34016418457031</v>
      </c>
      <c r="I228" s="45"/>
      <c r="J228" s="45"/>
      <c r="K228" s="45"/>
    </row>
    <row r="229" spans="1:11" ht="15.75">
      <c r="A229" s="198"/>
      <c r="B229" s="199">
        <v>9.789749145507812</v>
      </c>
      <c r="C229" s="202">
        <v>0.08186843991279602</v>
      </c>
      <c r="D229" s="202">
        <v>27.44131851196289</v>
      </c>
      <c r="E229" s="202">
        <v>13.607023239135742</v>
      </c>
      <c r="F229" s="202">
        <v>240.3045654296875</v>
      </c>
      <c r="G229" s="203">
        <v>80.53763580322266</v>
      </c>
      <c r="I229" s="45"/>
      <c r="J229" s="45"/>
      <c r="K229" s="45"/>
    </row>
    <row r="230" spans="1:11" ht="15.75">
      <c r="A230" s="198"/>
      <c r="B230" s="199">
        <v>8.756972312927246</v>
      </c>
      <c r="C230" s="202">
        <v>0.08439216017723083</v>
      </c>
      <c r="D230" s="202">
        <v>27.44150161743164</v>
      </c>
      <c r="E230" s="202">
        <v>13.345325469970703</v>
      </c>
      <c r="F230" s="202">
        <v>239.5596466064453</v>
      </c>
      <c r="G230" s="203">
        <v>80.47789764404297</v>
      </c>
      <c r="I230" s="45"/>
      <c r="J230" s="45"/>
      <c r="K230" s="45"/>
    </row>
    <row r="231" spans="1:11" ht="15.75">
      <c r="A231" s="198"/>
      <c r="B231" s="199">
        <v>8.748625755310059</v>
      </c>
      <c r="C231" s="202">
        <v>0.0895737037062645</v>
      </c>
      <c r="D231" s="202">
        <v>27.44137954711914</v>
      </c>
      <c r="E231" s="202">
        <v>13.71955394744873</v>
      </c>
      <c r="F231" s="202">
        <v>238.86038208007812</v>
      </c>
      <c r="G231" s="203">
        <v>80.1833267211914</v>
      </c>
      <c r="I231" s="45"/>
      <c r="J231" s="45"/>
      <c r="K231" s="45"/>
    </row>
    <row r="232" spans="1:11" ht="15.75">
      <c r="A232" s="198"/>
      <c r="B232" s="199">
        <v>7.796285152435303</v>
      </c>
      <c r="C232" s="202">
        <v>0.0896102786064148</v>
      </c>
      <c r="D232" s="202">
        <v>27.4412899017334</v>
      </c>
      <c r="E232" s="202">
        <v>14.025812149047852</v>
      </c>
      <c r="F232" s="202">
        <v>234.20420837402344</v>
      </c>
      <c r="G232" s="203">
        <v>79.81263732910156</v>
      </c>
      <c r="I232" s="45"/>
      <c r="J232" s="45"/>
      <c r="K232" s="45"/>
    </row>
    <row r="233" spans="1:11" ht="15.75">
      <c r="A233" s="198"/>
      <c r="B233" s="199">
        <v>7.806909084320068</v>
      </c>
      <c r="C233" s="202">
        <v>0.0896102786064148</v>
      </c>
      <c r="D233" s="202">
        <v>27.441349029541016</v>
      </c>
      <c r="E233" s="202">
        <v>13.473033905029297</v>
      </c>
      <c r="F233" s="202">
        <v>236.15061950683594</v>
      </c>
      <c r="G233" s="203">
        <v>80.02900695800781</v>
      </c>
      <c r="I233" s="45"/>
      <c r="J233" s="45"/>
      <c r="K233" s="45"/>
    </row>
    <row r="234" spans="1:11" ht="15.75">
      <c r="A234" s="198"/>
      <c r="B234" s="199">
        <v>6.790068626403809</v>
      </c>
      <c r="C234" s="202">
        <v>0.08186843991279602</v>
      </c>
      <c r="D234" s="202">
        <v>27.441715240478516</v>
      </c>
      <c r="E234" s="202">
        <v>14.452923774719238</v>
      </c>
      <c r="F234" s="202">
        <v>237.94471740722656</v>
      </c>
      <c r="G234" s="203">
        <v>80.01216125488281</v>
      </c>
      <c r="I234" s="45"/>
      <c r="J234" s="45"/>
      <c r="K234" s="45"/>
    </row>
    <row r="235" spans="1:11" ht="15.75">
      <c r="A235" s="198"/>
      <c r="B235" s="199">
        <v>6.788550853729248</v>
      </c>
      <c r="C235" s="202">
        <v>0.08189282566308975</v>
      </c>
      <c r="D235" s="202">
        <v>27.44119644165039</v>
      </c>
      <c r="E235" s="202">
        <v>15.092538833618164</v>
      </c>
      <c r="F235" s="202">
        <v>239.17572021484375</v>
      </c>
      <c r="G235" s="203">
        <v>80.10625457763672</v>
      </c>
      <c r="I235" s="45"/>
      <c r="J235" s="45"/>
      <c r="K235" s="45"/>
    </row>
    <row r="236" spans="1:11" ht="15.75">
      <c r="A236" s="198"/>
      <c r="B236" s="199">
        <v>5.82027530670166</v>
      </c>
      <c r="C236" s="202">
        <v>0.08685491234064102</v>
      </c>
      <c r="D236" s="202">
        <v>27.44125747680664</v>
      </c>
      <c r="E236" s="202">
        <v>14.25879955291748</v>
      </c>
      <c r="F236" s="202">
        <v>240.18704223632812</v>
      </c>
      <c r="G236" s="203">
        <v>80.180908203125</v>
      </c>
      <c r="I236" s="45"/>
      <c r="J236" s="45"/>
      <c r="K236" s="45"/>
    </row>
    <row r="237" spans="1:11" ht="15.75">
      <c r="A237" s="198"/>
      <c r="B237" s="199">
        <v>5.842281341552734</v>
      </c>
      <c r="C237" s="202">
        <v>0.09466990828514099</v>
      </c>
      <c r="D237" s="202">
        <v>27.441471099853516</v>
      </c>
      <c r="E237" s="202">
        <v>14.127218246459961</v>
      </c>
      <c r="F237" s="202">
        <v>240.9198760986328</v>
      </c>
      <c r="G237" s="203">
        <v>80.82278442382812</v>
      </c>
      <c r="I237" s="45"/>
      <c r="J237" s="45"/>
      <c r="K237" s="45"/>
    </row>
    <row r="238" spans="1:11" ht="15.75">
      <c r="A238" s="198"/>
      <c r="B238" s="199">
        <v>4.724515438079834</v>
      </c>
      <c r="C238" s="202">
        <v>0.097339928150177</v>
      </c>
      <c r="D238" s="202">
        <v>27.441410064697266</v>
      </c>
      <c r="E238" s="202">
        <v>13.785906791687012</v>
      </c>
      <c r="F238" s="202">
        <v>240.66595458984375</v>
      </c>
      <c r="G238" s="203">
        <v>80.40380096435547</v>
      </c>
      <c r="I238" s="45"/>
      <c r="J238" s="45"/>
      <c r="K238" s="45"/>
    </row>
    <row r="239" spans="1:11" ht="15.75">
      <c r="A239" s="198"/>
      <c r="B239" s="199">
        <v>4.70402717590332</v>
      </c>
      <c r="C239" s="202">
        <v>0.1052158772945404</v>
      </c>
      <c r="D239" s="202">
        <v>27.44131851196289</v>
      </c>
      <c r="E239" s="202">
        <v>13.79316234588623</v>
      </c>
      <c r="F239" s="202">
        <v>240.49978637695312</v>
      </c>
      <c r="G239" s="203">
        <v>79.98536682128906</v>
      </c>
      <c r="I239" s="45"/>
      <c r="J239" s="45"/>
      <c r="K239" s="45"/>
    </row>
    <row r="240" spans="1:11" ht="15.75">
      <c r="A240" s="198"/>
      <c r="B240" s="199">
        <v>3.701603889465332</v>
      </c>
      <c r="C240" s="202">
        <v>0.11882200837135315</v>
      </c>
      <c r="D240" s="202">
        <v>27.44131851196289</v>
      </c>
      <c r="E240" s="202">
        <v>14.258708000183105</v>
      </c>
      <c r="F240" s="202">
        <v>240.12213134765625</v>
      </c>
      <c r="G240" s="203">
        <v>80.13479614257812</v>
      </c>
      <c r="I240" s="45"/>
      <c r="J240" s="45"/>
      <c r="K240" s="45"/>
    </row>
    <row r="241" spans="1:11" ht="15.75">
      <c r="A241" s="198"/>
      <c r="B241" s="199">
        <v>3.7152631282806396</v>
      </c>
      <c r="C241" s="202">
        <v>0.12671014666557312</v>
      </c>
      <c r="D241" s="202">
        <v>27.441654205322266</v>
      </c>
      <c r="E241" s="202">
        <v>14.89350700378418</v>
      </c>
      <c r="F241" s="202">
        <v>239.96728515625</v>
      </c>
      <c r="G241" s="203">
        <v>80.59343719482422</v>
      </c>
      <c r="I241" s="45"/>
      <c r="J241" s="45"/>
      <c r="K241" s="45"/>
    </row>
    <row r="242" spans="1:11" ht="15.75">
      <c r="A242" s="198"/>
      <c r="B242" s="199">
        <v>2.7315309047698975</v>
      </c>
      <c r="C242" s="202">
        <v>0.1454368680715561</v>
      </c>
      <c r="D242" s="202">
        <v>27.44125747680664</v>
      </c>
      <c r="E242" s="202">
        <v>14.960866928100586</v>
      </c>
      <c r="F242" s="202">
        <v>239.92132568359375</v>
      </c>
      <c r="G242" s="203">
        <v>80.4636001586914</v>
      </c>
      <c r="I242" s="45"/>
      <c r="J242" s="45"/>
      <c r="K242" s="45"/>
    </row>
    <row r="243" spans="1:11" ht="15.75">
      <c r="A243" s="198"/>
      <c r="B243" s="199">
        <v>2.7497410774230957</v>
      </c>
      <c r="C243" s="202">
        <v>0.19860564172267914</v>
      </c>
      <c r="D243" s="202">
        <v>27.4412899017334</v>
      </c>
      <c r="E243" s="202">
        <v>14.872140884399414</v>
      </c>
      <c r="F243" s="202">
        <v>237.91702270507812</v>
      </c>
      <c r="G243" s="203">
        <v>80.58476257324219</v>
      </c>
      <c r="I243" s="45"/>
      <c r="J243" s="45"/>
      <c r="K243" s="45"/>
    </row>
    <row r="244" spans="1:11" ht="15.75">
      <c r="A244" s="198"/>
      <c r="B244" s="199">
        <v>2.7497410774230957</v>
      </c>
      <c r="C244" s="202">
        <v>0.37492454051971436</v>
      </c>
      <c r="D244" s="202">
        <v>27.441349029541016</v>
      </c>
      <c r="E244" s="202">
        <v>15.482678413391113</v>
      </c>
      <c r="F244" s="202">
        <v>236.74005126953125</v>
      </c>
      <c r="G244" s="203">
        <v>81.21704864501953</v>
      </c>
      <c r="I244" s="45"/>
      <c r="J244" s="45"/>
      <c r="K244" s="45"/>
    </row>
    <row r="245" spans="1:11" ht="15.75">
      <c r="A245" s="198"/>
      <c r="B245" s="199">
        <v>1.792946457862854</v>
      </c>
      <c r="C245" s="202">
        <v>0.5639839172363281</v>
      </c>
      <c r="D245" s="202">
        <v>27.441442489624023</v>
      </c>
      <c r="E245" s="202">
        <v>16.441566467285156</v>
      </c>
      <c r="F245" s="202">
        <v>237.1759796142578</v>
      </c>
      <c r="G245" s="203">
        <v>80.66584014892578</v>
      </c>
      <c r="I245" s="45"/>
      <c r="J245" s="45"/>
      <c r="K245" s="45"/>
    </row>
    <row r="246" spans="1:11" ht="15.75">
      <c r="A246" s="198"/>
      <c r="B246" s="199">
        <v>1.767148733139038</v>
      </c>
      <c r="C246" s="202">
        <v>0.8101500868797302</v>
      </c>
      <c r="D246" s="202">
        <v>27.441226959228516</v>
      </c>
      <c r="E246" s="202">
        <v>17.300514221191406</v>
      </c>
      <c r="F246" s="202">
        <v>238.32052612304688</v>
      </c>
      <c r="G246" s="203">
        <v>80.87803649902344</v>
      </c>
      <c r="I246" s="45"/>
      <c r="J246" s="45"/>
      <c r="K246" s="45"/>
    </row>
    <row r="247" spans="1:11" ht="15.75">
      <c r="A247" s="198"/>
      <c r="B247" s="199">
        <v>0.8308406472206116</v>
      </c>
      <c r="C247" s="202">
        <v>0.9060269594192505</v>
      </c>
      <c r="D247" s="202">
        <v>27.44131851196289</v>
      </c>
      <c r="E247" s="202">
        <v>17.577695846557617</v>
      </c>
      <c r="F247" s="202">
        <v>238.88180541992188</v>
      </c>
      <c r="G247" s="203">
        <v>80.51272583007812</v>
      </c>
      <c r="I247" s="45"/>
      <c r="J247" s="45"/>
      <c r="K247" s="45"/>
    </row>
    <row r="248" spans="1:11" ht="15.75">
      <c r="A248" s="198"/>
      <c r="B248" s="199">
        <v>0.8088366389274597</v>
      </c>
      <c r="C248" s="202">
        <v>0.8075653910636902</v>
      </c>
      <c r="D248" s="202">
        <v>27.44162368774414</v>
      </c>
      <c r="E248" s="202">
        <v>16.937166213989258</v>
      </c>
      <c r="F248" s="202">
        <v>238.91067504882812</v>
      </c>
      <c r="G248" s="203">
        <v>80.2925033569336</v>
      </c>
      <c r="I248" s="45"/>
      <c r="J248" s="45"/>
      <c r="K248" s="45"/>
    </row>
    <row r="249" spans="1:11" ht="15.75">
      <c r="A249" s="198"/>
      <c r="B249" s="199">
        <v>-0.1327827423810959</v>
      </c>
      <c r="C249" s="202">
        <v>0.9595736861228943</v>
      </c>
      <c r="D249" s="202">
        <v>27.44119644165039</v>
      </c>
      <c r="E249" s="202">
        <v>16.65117645263672</v>
      </c>
      <c r="F249" s="202">
        <v>240.21237182617188</v>
      </c>
      <c r="G249" s="203">
        <v>80.65190124511719</v>
      </c>
      <c r="I249" s="45"/>
      <c r="J249" s="45"/>
      <c r="K249" s="45"/>
    </row>
    <row r="250" spans="1:11" ht="15.75">
      <c r="A250" s="198"/>
      <c r="B250" s="199">
        <v>-0.1509929597377777</v>
      </c>
      <c r="C250" s="202">
        <v>0.8906164169311523</v>
      </c>
      <c r="D250" s="202">
        <v>27.44125747680664</v>
      </c>
      <c r="E250" s="202">
        <v>16.237720489501953</v>
      </c>
      <c r="F250" s="202">
        <v>241.54464721679688</v>
      </c>
      <c r="G250" s="203">
        <v>80.44367218017578</v>
      </c>
      <c r="I250" s="45"/>
      <c r="J250" s="45"/>
      <c r="K250" s="45"/>
    </row>
    <row r="251" spans="9:11" ht="15.75">
      <c r="I251" s="45"/>
      <c r="J251" s="45"/>
      <c r="K251" s="45"/>
    </row>
    <row r="252" spans="9:11" ht="15.75">
      <c r="I252" s="45"/>
      <c r="J252" s="45"/>
      <c r="K252" s="45"/>
    </row>
    <row r="253" spans="9:11" ht="15.75">
      <c r="I253" s="45"/>
      <c r="J253" s="45"/>
      <c r="K253" s="45"/>
    </row>
    <row r="254" spans="9:11" ht="15.75">
      <c r="I254" s="45"/>
      <c r="J254" s="45"/>
      <c r="K254" s="45"/>
    </row>
    <row r="255" spans="9:11" ht="15.75">
      <c r="I255" s="45"/>
      <c r="J255" s="45"/>
      <c r="K255" s="45"/>
    </row>
    <row r="256" spans="9:11" ht="15.75">
      <c r="I256" s="45"/>
      <c r="J256" s="45"/>
      <c r="K256" s="45"/>
    </row>
    <row r="257" spans="9:11" ht="15.75">
      <c r="I257" s="45"/>
      <c r="J257" s="45"/>
      <c r="K257" s="45"/>
    </row>
    <row r="258" spans="9:11" ht="15.75">
      <c r="I258" s="45"/>
      <c r="J258" s="45"/>
      <c r="K258" s="45"/>
    </row>
    <row r="259" spans="9:11" ht="15.75">
      <c r="I259" s="45"/>
      <c r="J259" s="45"/>
      <c r="K259" s="45"/>
    </row>
    <row r="260" spans="9:11" ht="15.75">
      <c r="I260" s="45"/>
      <c r="J260" s="45"/>
      <c r="K260" s="45"/>
    </row>
    <row r="261" spans="9:11" ht="15.75">
      <c r="I261" s="45"/>
      <c r="J261" s="45"/>
      <c r="K261" s="45"/>
    </row>
    <row r="262" spans="9:11" ht="15.75">
      <c r="I262" s="45"/>
      <c r="J262" s="45"/>
      <c r="K262" s="45"/>
    </row>
    <row r="263" spans="9:11" ht="15.75">
      <c r="I263" s="45"/>
      <c r="J263" s="45"/>
      <c r="K263" s="45"/>
    </row>
    <row r="264" spans="9:11" ht="15.75">
      <c r="I264" s="45"/>
      <c r="J264" s="45"/>
      <c r="K264" s="45"/>
    </row>
    <row r="265" spans="9:11" ht="15.75">
      <c r="I265" s="45"/>
      <c r="J265" s="45"/>
      <c r="K265" s="45"/>
    </row>
    <row r="266" spans="9:11" ht="15.75">
      <c r="I266" s="45"/>
      <c r="J266" s="45"/>
      <c r="K266" s="45"/>
    </row>
    <row r="267" spans="9:11" ht="15.75">
      <c r="I267" s="45"/>
      <c r="J267" s="45"/>
      <c r="K267" s="45"/>
    </row>
    <row r="268" spans="9:11" ht="15.75">
      <c r="I268" s="45"/>
      <c r="J268" s="45"/>
      <c r="K268" s="45"/>
    </row>
    <row r="269" spans="9:11" ht="15.75">
      <c r="I269" s="45"/>
      <c r="J269" s="45"/>
      <c r="K269" s="45"/>
    </row>
    <row r="270" spans="9:11" ht="15.75">
      <c r="I270" s="45"/>
      <c r="J270" s="45"/>
      <c r="K270" s="45"/>
    </row>
    <row r="271" spans="9:11" ht="15.75">
      <c r="I271" s="45"/>
      <c r="J271" s="45"/>
      <c r="K271" s="45"/>
    </row>
    <row r="272" spans="9:11" ht="15.75">
      <c r="I272" s="45"/>
      <c r="J272" s="45"/>
      <c r="K272" s="45"/>
    </row>
    <row r="273" spans="9:11" ht="15.75">
      <c r="I273" s="45"/>
      <c r="J273" s="45"/>
      <c r="K273" s="45"/>
    </row>
    <row r="274" spans="9:11" ht="15.75">
      <c r="I274" s="45"/>
      <c r="J274" s="45"/>
      <c r="K274" s="45"/>
    </row>
    <row r="275" spans="9:11" ht="15.75">
      <c r="I275" s="45"/>
      <c r="J275" s="45"/>
      <c r="K275" s="45"/>
    </row>
    <row r="276" spans="9:11" ht="15.75">
      <c r="I276" s="45"/>
      <c r="J276" s="45"/>
      <c r="K276" s="45"/>
    </row>
    <row r="277" spans="9:11" ht="15.75">
      <c r="I277" s="45"/>
      <c r="J277" s="45"/>
      <c r="K277" s="45"/>
    </row>
    <row r="278" spans="9:11" ht="15.75">
      <c r="I278" s="45"/>
      <c r="J278" s="45"/>
      <c r="K278" s="45"/>
    </row>
    <row r="279" spans="9:11" ht="15.75">
      <c r="I279" s="45"/>
      <c r="J279" s="45"/>
      <c r="K279" s="45"/>
    </row>
    <row r="280" spans="9:11" ht="15.75">
      <c r="I280" s="45"/>
      <c r="J280" s="45"/>
      <c r="K280" s="45"/>
    </row>
    <row r="281" spans="9:11" ht="15.75">
      <c r="I281" s="45"/>
      <c r="J281" s="45"/>
      <c r="K281" s="45"/>
    </row>
    <row r="282" spans="9:11" ht="15.75">
      <c r="I282" s="45"/>
      <c r="J282" s="45"/>
      <c r="K282" s="45"/>
    </row>
    <row r="283" spans="9:11" ht="15.75">
      <c r="I283" s="45"/>
      <c r="J283" s="45"/>
      <c r="K283" s="45"/>
    </row>
    <row r="284" spans="9:11" ht="15.75">
      <c r="I284" s="45"/>
      <c r="J284" s="45"/>
      <c r="K284" s="45"/>
    </row>
    <row r="285" spans="9:11" ht="15.75">
      <c r="I285" s="45"/>
      <c r="J285" s="45"/>
      <c r="K285" s="45"/>
    </row>
    <row r="286" spans="9:11" ht="15.75">
      <c r="I286" s="45"/>
      <c r="J286" s="45"/>
      <c r="K286" s="45"/>
    </row>
    <row r="287" spans="9:11" ht="15.75">
      <c r="I287" s="45"/>
      <c r="J287" s="45"/>
      <c r="K287" s="45"/>
    </row>
    <row r="288" spans="9:11" ht="15.75">
      <c r="I288" s="45"/>
      <c r="J288" s="45"/>
      <c r="K288" s="45"/>
    </row>
    <row r="289" spans="9:11" ht="15.75">
      <c r="I289" s="45"/>
      <c r="J289" s="45"/>
      <c r="K289" s="45"/>
    </row>
    <row r="290" spans="9:11" ht="15.75">
      <c r="I290" s="45"/>
      <c r="J290" s="45"/>
      <c r="K290" s="45"/>
    </row>
    <row r="291" spans="9:11" ht="15.75">
      <c r="I291" s="45"/>
      <c r="J291" s="45"/>
      <c r="K291" s="45"/>
    </row>
    <row r="292" spans="9:11" ht="15.75">
      <c r="I292" s="45"/>
      <c r="J292" s="45"/>
      <c r="K292" s="45"/>
    </row>
    <row r="293" spans="9:11" ht="15.75">
      <c r="I293" s="45"/>
      <c r="J293" s="45"/>
      <c r="K293" s="45"/>
    </row>
    <row r="294" spans="9:11" ht="15.75">
      <c r="I294" s="45"/>
      <c r="J294" s="45"/>
      <c r="K294" s="45"/>
    </row>
    <row r="295" spans="9:11" ht="15.75">
      <c r="I295" s="45"/>
      <c r="J295" s="45"/>
      <c r="K295" s="45"/>
    </row>
    <row r="296" spans="9:11" ht="15.75">
      <c r="I296" s="45"/>
      <c r="J296" s="45"/>
      <c r="K296" s="45"/>
    </row>
    <row r="297" spans="9:11" ht="15.75">
      <c r="I297" s="45"/>
      <c r="J297" s="45"/>
      <c r="K297" s="45"/>
    </row>
    <row r="298" spans="9:11" ht="15.75">
      <c r="I298" s="45"/>
      <c r="J298" s="45"/>
      <c r="K298" s="45"/>
    </row>
    <row r="299" spans="9:11" ht="15.75">
      <c r="I299" s="45"/>
      <c r="J299" s="45"/>
      <c r="K299" s="45"/>
    </row>
    <row r="300" spans="9:11" ht="15.75">
      <c r="I300" s="45"/>
      <c r="J300" s="45"/>
      <c r="K300" s="45"/>
    </row>
    <row r="301" spans="9:11" ht="15.75">
      <c r="I301" s="45"/>
      <c r="J301" s="45"/>
      <c r="K301" s="45"/>
    </row>
    <row r="302" spans="9:11" ht="15.75">
      <c r="I302" s="45"/>
      <c r="J302" s="45"/>
      <c r="K302" s="45"/>
    </row>
    <row r="303" spans="9:11" ht="15.75">
      <c r="I303" s="45"/>
      <c r="J303" s="45"/>
      <c r="K303" s="45"/>
    </row>
    <row r="304" spans="9:11" ht="15.75">
      <c r="I304" s="45"/>
      <c r="J304" s="45"/>
      <c r="K304" s="45"/>
    </row>
    <row r="305" spans="9:11" ht="15.75">
      <c r="I305" s="45"/>
      <c r="J305" s="45"/>
      <c r="K305" s="45"/>
    </row>
    <row r="306" spans="9:11" ht="15.75">
      <c r="I306" s="45"/>
      <c r="J306" s="45"/>
      <c r="K306" s="45"/>
    </row>
    <row r="307" spans="9:11" ht="15.75">
      <c r="I307" s="45"/>
      <c r="J307" s="45"/>
      <c r="K307" s="45"/>
    </row>
    <row r="308" spans="9:11" ht="15.75">
      <c r="I308" s="45"/>
      <c r="J308" s="45"/>
      <c r="K308" s="45"/>
    </row>
    <row r="309" spans="9:11" ht="15.75">
      <c r="I309" s="45"/>
      <c r="J309" s="45"/>
      <c r="K309" s="45"/>
    </row>
    <row r="310" spans="9:11" ht="15.75">
      <c r="I310" s="45"/>
      <c r="J310" s="45"/>
      <c r="K310" s="45"/>
    </row>
    <row r="311" spans="9:11" ht="15.75">
      <c r="I311" s="45"/>
      <c r="J311" s="45"/>
      <c r="K311" s="45"/>
    </row>
    <row r="312" spans="9:11" ht="15.75">
      <c r="I312" s="45"/>
      <c r="J312" s="45"/>
      <c r="K312" s="45"/>
    </row>
    <row r="313" spans="9:11" ht="15.75">
      <c r="I313" s="45"/>
      <c r="J313" s="45"/>
      <c r="K313" s="45"/>
    </row>
    <row r="314" spans="9:11" ht="15.75">
      <c r="I314" s="45"/>
      <c r="J314" s="45"/>
      <c r="K314" s="45"/>
    </row>
    <row r="315" spans="9:11" ht="15.75">
      <c r="I315" s="45"/>
      <c r="J315" s="45"/>
      <c r="K315" s="45"/>
    </row>
    <row r="316" spans="9:11" ht="15.75">
      <c r="I316" s="45"/>
      <c r="J316" s="45"/>
      <c r="K316" s="45"/>
    </row>
    <row r="317" spans="9:11" ht="15.75">
      <c r="I317" s="45"/>
      <c r="J317" s="45"/>
      <c r="K317" s="45"/>
    </row>
    <row r="318" spans="9:11" ht="15.75">
      <c r="I318" s="45"/>
      <c r="J318" s="45"/>
      <c r="K318" s="45"/>
    </row>
    <row r="319" spans="9:11" ht="15.75">
      <c r="I319" s="45"/>
      <c r="J319" s="45"/>
      <c r="K319" s="45"/>
    </row>
    <row r="320" spans="9:11" ht="15.75">
      <c r="I320" s="45"/>
      <c r="J320" s="45"/>
      <c r="K320" s="45"/>
    </row>
    <row r="321" spans="9:11" ht="15.75">
      <c r="I321" s="45"/>
      <c r="J321" s="45"/>
      <c r="K321" s="45"/>
    </row>
    <row r="322" spans="9:11" ht="15.75">
      <c r="I322" s="45"/>
      <c r="J322" s="45"/>
      <c r="K322" s="45"/>
    </row>
    <row r="323" spans="9:11" ht="15.75">
      <c r="I323" s="45"/>
      <c r="J323" s="45"/>
      <c r="K323" s="45"/>
    </row>
    <row r="324" spans="9:11" ht="15.75">
      <c r="I324" s="45"/>
      <c r="J324" s="45"/>
      <c r="K324" s="45"/>
    </row>
    <row r="325" spans="9:11" ht="15.75">
      <c r="I325" s="45"/>
      <c r="J325" s="45"/>
      <c r="K325" s="45"/>
    </row>
    <row r="326" spans="9:11" ht="15.75">
      <c r="I326" s="45"/>
      <c r="J326" s="45"/>
      <c r="K326" s="45"/>
    </row>
    <row r="327" spans="9:11" ht="15.75">
      <c r="I327" s="45"/>
      <c r="J327" s="45"/>
      <c r="K327" s="45"/>
    </row>
    <row r="328" spans="9:11" ht="15.75">
      <c r="I328" s="45"/>
      <c r="J328" s="45"/>
      <c r="K328" s="45"/>
    </row>
    <row r="329" spans="9:11" ht="15.75">
      <c r="I329" s="45"/>
      <c r="J329" s="45"/>
      <c r="K329" s="45"/>
    </row>
    <row r="330" spans="9:11" ht="15.75">
      <c r="I330" s="45"/>
      <c r="J330" s="45"/>
      <c r="K330" s="45"/>
    </row>
    <row r="331" spans="9:11" ht="15.75">
      <c r="I331" s="45"/>
      <c r="J331" s="45"/>
      <c r="K331" s="45"/>
    </row>
    <row r="332" spans="9:11" ht="15.75">
      <c r="I332" s="45"/>
      <c r="J332" s="45"/>
      <c r="K332" s="45"/>
    </row>
    <row r="333" spans="9:11" ht="15.75">
      <c r="I333" s="45"/>
      <c r="J333" s="45"/>
      <c r="K333" s="45"/>
    </row>
    <row r="334" spans="9:11" ht="15.75">
      <c r="I334" s="45"/>
      <c r="J334" s="45"/>
      <c r="K334" s="45"/>
    </row>
    <row r="335" spans="9:11" ht="15.75">
      <c r="I335" s="45"/>
      <c r="J335" s="45"/>
      <c r="K335" s="45"/>
    </row>
    <row r="336" spans="9:11" ht="15.75">
      <c r="I336" s="45"/>
      <c r="J336" s="45"/>
      <c r="K336" s="45"/>
    </row>
    <row r="337" spans="9:11" ht="15.75">
      <c r="I337" s="45"/>
      <c r="J337" s="45"/>
      <c r="K337" s="45"/>
    </row>
    <row r="338" spans="9:11" ht="15.75">
      <c r="I338" s="45"/>
      <c r="J338" s="45"/>
      <c r="K338" s="45"/>
    </row>
    <row r="339" spans="9:11" ht="15.75">
      <c r="I339" s="45"/>
      <c r="J339" s="45"/>
      <c r="K339" s="45"/>
    </row>
    <row r="340" spans="9:11" ht="15.75">
      <c r="I340" s="45"/>
      <c r="J340" s="45"/>
      <c r="K340" s="45"/>
    </row>
    <row r="341" spans="9:11" ht="15.75">
      <c r="I341" s="45"/>
      <c r="J341" s="45"/>
      <c r="K341" s="45"/>
    </row>
    <row r="342" spans="9:11" ht="15.75">
      <c r="I342" s="45"/>
      <c r="J342" s="45"/>
      <c r="K342" s="45"/>
    </row>
    <row r="343" spans="9:11" ht="15.75">
      <c r="I343" s="45"/>
      <c r="J343" s="45"/>
      <c r="K343" s="45"/>
    </row>
    <row r="344" spans="9:11" ht="15.75">
      <c r="I344" s="45"/>
      <c r="J344" s="45"/>
      <c r="K344" s="45"/>
    </row>
    <row r="345" spans="9:11" ht="15.75">
      <c r="I345" s="45"/>
      <c r="J345" s="45"/>
      <c r="K345" s="45"/>
    </row>
    <row r="346" spans="9:11" ht="15.75">
      <c r="I346" s="45"/>
      <c r="J346" s="45"/>
      <c r="K346" s="45"/>
    </row>
    <row r="347" spans="9:11" ht="15.75">
      <c r="I347" s="45"/>
      <c r="J347" s="45"/>
      <c r="K347" s="45"/>
    </row>
    <row r="348" spans="9:11" ht="15.75">
      <c r="I348" s="45"/>
      <c r="J348" s="45"/>
      <c r="K348" s="45"/>
    </row>
    <row r="349" spans="9:11" ht="15.75">
      <c r="I349" s="45"/>
      <c r="J349" s="45"/>
      <c r="K349" s="45"/>
    </row>
    <row r="350" spans="9:11" ht="15.75">
      <c r="I350" s="45"/>
      <c r="J350" s="45"/>
      <c r="K350" s="45"/>
    </row>
    <row r="351" spans="9:11" ht="15.75">
      <c r="I351" s="45"/>
      <c r="J351" s="45"/>
      <c r="K351" s="45"/>
    </row>
    <row r="352" spans="9:11" ht="15.75">
      <c r="I352" s="45"/>
      <c r="J352" s="45"/>
      <c r="K352" s="45"/>
    </row>
    <row r="353" spans="9:11" ht="15.75">
      <c r="I353" s="45"/>
      <c r="J353" s="45"/>
      <c r="K353" s="45"/>
    </row>
    <row r="354" spans="9:11" ht="15.75">
      <c r="I354" s="45"/>
      <c r="J354" s="45"/>
      <c r="K354" s="45"/>
    </row>
    <row r="355" spans="9:11" ht="15.75">
      <c r="I355" s="45"/>
      <c r="J355" s="45"/>
      <c r="K355" s="45"/>
    </row>
    <row r="356" spans="9:11" ht="15.75">
      <c r="I356" s="45"/>
      <c r="J356" s="45"/>
      <c r="K356" s="45"/>
    </row>
    <row r="357" spans="9:11" ht="15.75">
      <c r="I357" s="45"/>
      <c r="J357" s="45"/>
      <c r="K357" s="45"/>
    </row>
    <row r="358" spans="9:11" ht="15.75">
      <c r="I358" s="45"/>
      <c r="J358" s="45"/>
      <c r="K358" s="45"/>
    </row>
    <row r="359" spans="9:11" ht="15.75">
      <c r="I359" s="45"/>
      <c r="J359" s="45"/>
      <c r="K359" s="45"/>
    </row>
    <row r="360" spans="9:11" ht="15.75">
      <c r="I360" s="45"/>
      <c r="J360" s="45"/>
      <c r="K360" s="45"/>
    </row>
    <row r="361" spans="9:11" ht="15.75">
      <c r="I361" s="45"/>
      <c r="J361" s="45"/>
      <c r="K361" s="45"/>
    </row>
    <row r="362" spans="9:11" ht="15.75">
      <c r="I362" s="45"/>
      <c r="J362" s="45"/>
      <c r="K362" s="45"/>
    </row>
    <row r="363" spans="9:11" ht="15.75">
      <c r="I363" s="45"/>
      <c r="J363" s="45"/>
      <c r="K363" s="45"/>
    </row>
    <row r="364" spans="9:11" ht="15.75">
      <c r="I364" s="45"/>
      <c r="J364" s="45"/>
      <c r="K364" s="45"/>
    </row>
    <row r="365" spans="9:11" ht="15.75">
      <c r="I365" s="45"/>
      <c r="J365" s="45"/>
      <c r="K365" s="45"/>
    </row>
    <row r="366" spans="9:11" ht="15.75">
      <c r="I366" s="45"/>
      <c r="J366" s="45"/>
      <c r="K366" s="45"/>
    </row>
    <row r="367" spans="9:11" ht="15.75">
      <c r="I367" s="45"/>
      <c r="J367" s="45"/>
      <c r="K367" s="45"/>
    </row>
    <row r="368" spans="9:11" ht="15.75">
      <c r="I368" s="45"/>
      <c r="J368" s="45"/>
      <c r="K368" s="45"/>
    </row>
    <row r="369" spans="9:11" ht="15.75">
      <c r="I369" s="45"/>
      <c r="J369" s="45"/>
      <c r="K369" s="45"/>
    </row>
    <row r="370" spans="9:11" ht="15.75">
      <c r="I370" s="45"/>
      <c r="J370" s="45"/>
      <c r="K370" s="45"/>
    </row>
    <row r="371" spans="9:11" ht="15.75">
      <c r="I371" s="45"/>
      <c r="J371" s="45"/>
      <c r="K371" s="45"/>
    </row>
    <row r="372" spans="9:11" ht="15.75">
      <c r="I372" s="45"/>
      <c r="J372" s="45"/>
      <c r="K372" s="45"/>
    </row>
    <row r="373" spans="9:11" ht="15.75">
      <c r="I373" s="45"/>
      <c r="J373" s="45"/>
      <c r="K373" s="45"/>
    </row>
    <row r="374" spans="9:11" ht="15.75">
      <c r="I374" s="45"/>
      <c r="J374" s="45"/>
      <c r="K374" s="45"/>
    </row>
    <row r="375" spans="9:11" ht="15.75">
      <c r="I375" s="45"/>
      <c r="J375" s="45"/>
      <c r="K375" s="45"/>
    </row>
    <row r="376" spans="9:11" ht="15.75">
      <c r="I376" s="45"/>
      <c r="J376" s="45"/>
      <c r="K376" s="45"/>
    </row>
    <row r="377" spans="9:11" ht="15.75">
      <c r="I377" s="45"/>
      <c r="J377" s="45"/>
      <c r="K377" s="45"/>
    </row>
    <row r="378" spans="9:11" ht="15.75">
      <c r="I378" s="45"/>
      <c r="J378" s="45"/>
      <c r="K378" s="45"/>
    </row>
    <row r="379" spans="9:11" ht="15.75">
      <c r="I379" s="45"/>
      <c r="J379" s="45"/>
      <c r="K379" s="45"/>
    </row>
    <row r="380" spans="9:11" ht="15.75">
      <c r="I380" s="45"/>
      <c r="J380" s="45"/>
      <c r="K380" s="45"/>
    </row>
    <row r="381" spans="9:11" ht="15.75">
      <c r="I381" s="45"/>
      <c r="J381" s="45"/>
      <c r="K381" s="45"/>
    </row>
    <row r="382" spans="9:11" ht="15.75">
      <c r="I382" s="45"/>
      <c r="J382" s="45"/>
      <c r="K382" s="45"/>
    </row>
    <row r="383" spans="9:11" ht="15.75">
      <c r="I383" s="45"/>
      <c r="J383" s="45"/>
      <c r="K383" s="45"/>
    </row>
    <row r="384" spans="9:11" ht="15.75">
      <c r="I384" s="45"/>
      <c r="J384" s="45"/>
      <c r="K384" s="45"/>
    </row>
    <row r="385" spans="9:11" ht="15.75">
      <c r="I385" s="45"/>
      <c r="J385" s="45"/>
      <c r="K385" s="45"/>
    </row>
    <row r="386" spans="9:11" ht="15.75">
      <c r="I386" s="45"/>
      <c r="J386" s="45"/>
      <c r="K386" s="45"/>
    </row>
    <row r="387" spans="9:11" ht="15.75">
      <c r="I387" s="45"/>
      <c r="J387" s="45"/>
      <c r="K387" s="45"/>
    </row>
    <row r="388" spans="9:11" ht="15.75">
      <c r="I388" s="45"/>
      <c r="J388" s="45"/>
      <c r="K388" s="45"/>
    </row>
    <row r="389" spans="9:11" ht="15.75">
      <c r="I389" s="45"/>
      <c r="J389" s="45"/>
      <c r="K389" s="45"/>
    </row>
    <row r="390" spans="9:11" ht="15.75">
      <c r="I390" s="45"/>
      <c r="J390" s="45"/>
      <c r="K390" s="45"/>
    </row>
    <row r="391" spans="9:11" ht="15.75">
      <c r="I391" s="45"/>
      <c r="J391" s="45"/>
      <c r="K391" s="45"/>
    </row>
    <row r="392" spans="9:11" ht="15.75">
      <c r="I392" s="45"/>
      <c r="J392" s="45"/>
      <c r="K392" s="45"/>
    </row>
    <row r="393" spans="9:11" ht="15.75">
      <c r="I393" s="45"/>
      <c r="J393" s="45"/>
      <c r="K393" s="45"/>
    </row>
    <row r="394" spans="9:11" ht="15.75">
      <c r="I394" s="45"/>
      <c r="J394" s="45"/>
      <c r="K394" s="45"/>
    </row>
    <row r="395" spans="9:11" ht="15.75">
      <c r="I395" s="45"/>
      <c r="J395" s="45"/>
      <c r="K395" s="45"/>
    </row>
    <row r="396" spans="9:11" ht="15.75">
      <c r="I396" s="45"/>
      <c r="J396" s="45"/>
      <c r="K396" s="45"/>
    </row>
    <row r="397" spans="9:11" ht="15.75">
      <c r="I397" s="45"/>
      <c r="J397" s="45"/>
      <c r="K397" s="45"/>
    </row>
    <row r="398" spans="9:11" ht="15.75">
      <c r="I398" s="45"/>
      <c r="J398" s="45"/>
      <c r="K398" s="45"/>
    </row>
    <row r="399" spans="9:11" ht="15.75">
      <c r="I399" s="45"/>
      <c r="J399" s="45"/>
      <c r="K399" s="45"/>
    </row>
    <row r="400" spans="9:11" ht="15.75">
      <c r="I400" s="45"/>
      <c r="J400" s="45"/>
      <c r="K400" s="45"/>
    </row>
    <row r="401" spans="9:11" ht="15.75">
      <c r="I401" s="45"/>
      <c r="J401" s="45"/>
      <c r="K401" s="45"/>
    </row>
    <row r="402" spans="9:11" ht="15.75">
      <c r="I402" s="45"/>
      <c r="J402" s="45"/>
      <c r="K402" s="45"/>
    </row>
    <row r="403" spans="9:11" ht="15.75">
      <c r="I403" s="45"/>
      <c r="J403" s="45"/>
      <c r="K403" s="45"/>
    </row>
    <row r="404" spans="9:11" ht="15.75">
      <c r="I404" s="45"/>
      <c r="J404" s="45"/>
      <c r="K404" s="45"/>
    </row>
    <row r="405" spans="9:11" ht="15.75">
      <c r="I405" s="45"/>
      <c r="J405" s="45"/>
      <c r="K405" s="45"/>
    </row>
    <row r="406" spans="9:11" ht="15.75">
      <c r="I406" s="45"/>
      <c r="J406" s="45"/>
      <c r="K406" s="45"/>
    </row>
    <row r="407" spans="9:11" ht="15.75">
      <c r="I407" s="45"/>
      <c r="J407" s="45"/>
      <c r="K407" s="45"/>
    </row>
    <row r="408" spans="9:11" ht="15.75">
      <c r="I408" s="45"/>
      <c r="J408" s="45"/>
      <c r="K408" s="45"/>
    </row>
    <row r="409" spans="9:11" ht="15.75">
      <c r="I409" s="45"/>
      <c r="J409" s="45"/>
      <c r="K409" s="45"/>
    </row>
    <row r="410" spans="9:11" ht="15.75">
      <c r="I410" s="45"/>
      <c r="J410" s="45"/>
      <c r="K410" s="45"/>
    </row>
    <row r="411" spans="9:11" ht="15.75">
      <c r="I411" s="45"/>
      <c r="J411" s="45"/>
      <c r="K411" s="45"/>
    </row>
    <row r="412" spans="9:11" ht="15.75">
      <c r="I412" s="45"/>
      <c r="J412" s="45"/>
      <c r="K412" s="45"/>
    </row>
    <row r="413" spans="9:11" ht="15.75">
      <c r="I413" s="45"/>
      <c r="J413" s="45"/>
      <c r="K413" s="45"/>
    </row>
    <row r="414" spans="9:11" ht="15.75">
      <c r="I414" s="45"/>
      <c r="J414" s="45"/>
      <c r="K414" s="45"/>
    </row>
    <row r="415" spans="9:11" ht="15.75">
      <c r="I415" s="45"/>
      <c r="J415" s="45"/>
      <c r="K415" s="45"/>
    </row>
    <row r="416" spans="9:11" ht="15.75">
      <c r="I416" s="45"/>
      <c r="J416" s="45"/>
      <c r="K416" s="45"/>
    </row>
    <row r="417" spans="9:11" ht="15.75">
      <c r="I417" s="45"/>
      <c r="J417" s="45"/>
      <c r="K417" s="45"/>
    </row>
    <row r="418" spans="9:11" ht="15.75">
      <c r="I418" s="45"/>
      <c r="J418" s="45"/>
      <c r="K418" s="45"/>
    </row>
    <row r="419" spans="9:11" ht="15.75">
      <c r="I419" s="45"/>
      <c r="J419" s="45"/>
      <c r="K419" s="45"/>
    </row>
    <row r="420" spans="9:11" ht="15.75">
      <c r="I420" s="45"/>
      <c r="J420" s="45"/>
      <c r="K420" s="45"/>
    </row>
    <row r="421" spans="9:11" ht="15.75">
      <c r="I421" s="45"/>
      <c r="J421" s="45"/>
      <c r="K421" s="45"/>
    </row>
    <row r="422" spans="9:11" ht="15.75">
      <c r="I422" s="45"/>
      <c r="J422" s="45"/>
      <c r="K422" s="45"/>
    </row>
    <row r="423" spans="9:11" ht="15.75">
      <c r="I423" s="45"/>
      <c r="J423" s="45"/>
      <c r="K423" s="45"/>
    </row>
    <row r="424" spans="9:11" ht="15.75">
      <c r="I424" s="45"/>
      <c r="J424" s="45"/>
      <c r="K424" s="45"/>
    </row>
    <row r="425" spans="9:11" ht="15.75">
      <c r="I425" s="45"/>
      <c r="J425" s="45"/>
      <c r="K425" s="45"/>
    </row>
    <row r="426" spans="9:11" ht="15.75">
      <c r="I426" s="45"/>
      <c r="J426" s="45"/>
      <c r="K426" s="45"/>
    </row>
    <row r="427" spans="9:11" ht="15.75">
      <c r="I427" s="45"/>
      <c r="J427" s="45"/>
      <c r="K427" s="45"/>
    </row>
    <row r="428" spans="9:11" ht="15.75">
      <c r="I428" s="45"/>
      <c r="J428" s="45"/>
      <c r="K428" s="45"/>
    </row>
    <row r="429" spans="9:11" ht="15.75">
      <c r="I429" s="45"/>
      <c r="J429" s="45"/>
      <c r="K429" s="45"/>
    </row>
    <row r="430" spans="9:11" ht="15.75">
      <c r="I430" s="45"/>
      <c r="J430" s="45"/>
      <c r="K430" s="45"/>
    </row>
    <row r="431" spans="9:11" ht="15.75">
      <c r="I431" s="45"/>
      <c r="J431" s="45"/>
      <c r="K431" s="45"/>
    </row>
    <row r="432" spans="9:11" ht="15.75">
      <c r="I432" s="45"/>
      <c r="J432" s="45"/>
      <c r="K432" s="45"/>
    </row>
    <row r="433" spans="9:11" ht="15.75">
      <c r="I433" s="45"/>
      <c r="J433" s="45"/>
      <c r="K433" s="45"/>
    </row>
    <row r="434" spans="9:11" ht="15.75">
      <c r="I434" s="45"/>
      <c r="J434" s="45"/>
      <c r="K434" s="45"/>
    </row>
    <row r="435" spans="9:11" ht="15.75">
      <c r="I435" s="45"/>
      <c r="J435" s="45"/>
      <c r="K435" s="45"/>
    </row>
    <row r="436" spans="9:11" ht="15.75">
      <c r="I436" s="45"/>
      <c r="J436" s="45"/>
      <c r="K436" s="45"/>
    </row>
    <row r="437" spans="9:11" ht="15.75">
      <c r="I437" s="45"/>
      <c r="J437" s="45"/>
      <c r="K437" s="45"/>
    </row>
    <row r="438" spans="9:11" ht="15.75">
      <c r="I438" s="45"/>
      <c r="J438" s="45"/>
      <c r="K438" s="45"/>
    </row>
    <row r="439" spans="9:11" ht="15.75">
      <c r="I439" s="45"/>
      <c r="J439" s="45"/>
      <c r="K439" s="45"/>
    </row>
    <row r="440" spans="9:11" ht="15.75">
      <c r="I440" s="45"/>
      <c r="J440" s="45"/>
      <c r="K440" s="45"/>
    </row>
    <row r="441" spans="9:11" ht="15.75">
      <c r="I441" s="45"/>
      <c r="J441" s="45"/>
      <c r="K441" s="45"/>
    </row>
    <row r="442" spans="9:11" ht="15.75">
      <c r="I442" s="45"/>
      <c r="J442" s="45"/>
      <c r="K442" s="45"/>
    </row>
    <row r="443" spans="9:11" ht="15.75">
      <c r="I443" s="45"/>
      <c r="J443" s="45"/>
      <c r="K443" s="45"/>
    </row>
    <row r="444" spans="9:11" ht="15.75">
      <c r="I444" s="45"/>
      <c r="J444" s="45"/>
      <c r="K444" s="45"/>
    </row>
    <row r="445" spans="9:11" ht="15.75">
      <c r="I445" s="45"/>
      <c r="J445" s="45"/>
      <c r="K445" s="45"/>
    </row>
    <row r="446" spans="9:11" ht="15.75">
      <c r="I446" s="45"/>
      <c r="J446" s="45"/>
      <c r="K446" s="45"/>
    </row>
    <row r="447" spans="9:11" ht="15.75">
      <c r="I447" s="45"/>
      <c r="J447" s="45"/>
      <c r="K447" s="45"/>
    </row>
    <row r="448" spans="9:11" ht="15.75">
      <c r="I448" s="45"/>
      <c r="J448" s="45"/>
      <c r="K448" s="45"/>
    </row>
    <row r="449" spans="9:11" ht="15.75">
      <c r="I449" s="45"/>
      <c r="J449" s="45"/>
      <c r="K449" s="45"/>
    </row>
    <row r="450" spans="9:11" ht="15.75">
      <c r="I450" s="45"/>
      <c r="J450" s="45"/>
      <c r="K450" s="45"/>
    </row>
    <row r="451" spans="9:11" ht="15.75">
      <c r="I451" s="45"/>
      <c r="J451" s="45"/>
      <c r="K451" s="45"/>
    </row>
    <row r="452" spans="9:11" ht="15.75">
      <c r="I452" s="45"/>
      <c r="J452" s="45"/>
      <c r="K452" s="45"/>
    </row>
    <row r="453" spans="9:11" ht="15.75">
      <c r="I453" s="45"/>
      <c r="J453" s="45"/>
      <c r="K453" s="45"/>
    </row>
    <row r="454" spans="9:11" ht="15.75">
      <c r="I454" s="45"/>
      <c r="J454" s="45"/>
      <c r="K454" s="45"/>
    </row>
    <row r="455" spans="9:11" ht="15.75">
      <c r="I455" s="45"/>
      <c r="J455" s="45"/>
      <c r="K455" s="45"/>
    </row>
    <row r="456" spans="9:11" ht="15.75">
      <c r="I456" s="45"/>
      <c r="J456" s="45"/>
      <c r="K456" s="45"/>
    </row>
    <row r="457" spans="9:11" ht="15.75">
      <c r="I457" s="45"/>
      <c r="J457" s="45"/>
      <c r="K457" s="45"/>
    </row>
    <row r="458" spans="9:11" ht="15.75">
      <c r="I458" s="45"/>
      <c r="J458" s="45"/>
      <c r="K458" s="45"/>
    </row>
    <row r="459" spans="9:11" ht="15.75">
      <c r="I459" s="45"/>
      <c r="J459" s="45"/>
      <c r="K459" s="45"/>
    </row>
    <row r="460" spans="9:11" ht="15.75">
      <c r="I460" s="45"/>
      <c r="J460" s="45"/>
      <c r="K460" s="45"/>
    </row>
    <row r="461" spans="9:11" ht="15.75">
      <c r="I461" s="45"/>
      <c r="J461" s="45"/>
      <c r="K461" s="45"/>
    </row>
    <row r="462" spans="9:11" ht="15.75">
      <c r="I462" s="45"/>
      <c r="J462" s="45"/>
      <c r="K462" s="45"/>
    </row>
    <row r="463" spans="9:11" ht="15.75">
      <c r="I463" s="45"/>
      <c r="J463" s="45"/>
      <c r="K463" s="45"/>
    </row>
    <row r="464" spans="9:11" ht="15.75">
      <c r="I464" s="45"/>
      <c r="J464" s="45"/>
      <c r="K464" s="45"/>
    </row>
    <row r="465" spans="9:11" ht="15.75">
      <c r="I465" s="45"/>
      <c r="J465" s="45"/>
      <c r="K465" s="45"/>
    </row>
    <row r="466" spans="9:11" ht="15.75">
      <c r="I466" s="45"/>
      <c r="J466" s="45"/>
      <c r="K466" s="45"/>
    </row>
    <row r="467" spans="9:11" ht="15.75">
      <c r="I467" s="45"/>
      <c r="J467" s="45"/>
      <c r="K467" s="45"/>
    </row>
    <row r="468" spans="9:11" ht="15.75">
      <c r="I468" s="45"/>
      <c r="J468" s="45"/>
      <c r="K468" s="45"/>
    </row>
    <row r="469" spans="9:11" ht="15.75">
      <c r="I469" s="45"/>
      <c r="J469" s="45"/>
      <c r="K469" s="45"/>
    </row>
    <row r="470" spans="9:11" ht="15.75">
      <c r="I470" s="45"/>
      <c r="J470" s="45"/>
      <c r="K470" s="45"/>
    </row>
    <row r="471" spans="9:11" ht="15.75">
      <c r="I471" s="45"/>
      <c r="J471" s="45"/>
      <c r="K471" s="45"/>
    </row>
    <row r="472" spans="9:11" ht="15.75">
      <c r="I472" s="45"/>
      <c r="J472" s="45"/>
      <c r="K472" s="45"/>
    </row>
    <row r="473" spans="9:11" ht="15.75">
      <c r="I473" s="45"/>
      <c r="J473" s="45"/>
      <c r="K473" s="45"/>
    </row>
    <row r="474" spans="9:11" ht="15.75">
      <c r="I474" s="45"/>
      <c r="J474" s="45"/>
      <c r="K474" s="45"/>
    </row>
    <row r="475" spans="9:11" ht="15.75">
      <c r="I475" s="45"/>
      <c r="J475" s="45"/>
      <c r="K475" s="45"/>
    </row>
    <row r="476" spans="9:11" ht="15.75">
      <c r="I476" s="45"/>
      <c r="J476" s="45"/>
      <c r="K476" s="45"/>
    </row>
    <row r="477" spans="9:11" ht="15.75">
      <c r="I477" s="45"/>
      <c r="J477" s="45"/>
      <c r="K477" s="45"/>
    </row>
    <row r="478" spans="9:11" ht="15.75">
      <c r="I478" s="45"/>
      <c r="J478" s="45"/>
      <c r="K478" s="45"/>
    </row>
    <row r="479" spans="9:11" ht="15.75">
      <c r="I479" s="45"/>
      <c r="J479" s="45"/>
      <c r="K479" s="45"/>
    </row>
    <row r="480" spans="9:11" ht="15.75">
      <c r="I480" s="45"/>
      <c r="J480" s="45"/>
      <c r="K480" s="45"/>
    </row>
    <row r="481" spans="9:11" ht="15.75">
      <c r="I481" s="45"/>
      <c r="J481" s="45"/>
      <c r="K481" s="45"/>
    </row>
    <row r="482" spans="9:11" ht="15.75">
      <c r="I482" s="45"/>
      <c r="J482" s="45"/>
      <c r="K482" s="45"/>
    </row>
    <row r="483" spans="9:11" ht="15.75">
      <c r="I483" s="45"/>
      <c r="J483" s="45"/>
      <c r="K483" s="45"/>
    </row>
    <row r="484" spans="9:11" ht="15.75">
      <c r="I484" s="45"/>
      <c r="J484" s="45"/>
      <c r="K484" s="45"/>
    </row>
    <row r="485" spans="9:11" ht="15.75">
      <c r="I485" s="45"/>
      <c r="J485" s="45"/>
      <c r="K485" s="45"/>
    </row>
    <row r="486" spans="9:11" ht="15.75">
      <c r="I486" s="45"/>
      <c r="J486" s="45"/>
      <c r="K486" s="45"/>
    </row>
    <row r="487" spans="9:11" ht="15.75">
      <c r="I487" s="45"/>
      <c r="J487" s="45"/>
      <c r="K487" s="45"/>
    </row>
    <row r="488" spans="9:11" ht="15.75">
      <c r="I488" s="45"/>
      <c r="J488" s="45"/>
      <c r="K488" s="45"/>
    </row>
    <row r="489" spans="9:11" ht="15.75">
      <c r="I489" s="45"/>
      <c r="J489" s="45"/>
      <c r="K489" s="45"/>
    </row>
    <row r="490" spans="9:11" ht="15.75">
      <c r="I490" s="45"/>
      <c r="J490" s="45"/>
      <c r="K490" s="45"/>
    </row>
    <row r="491" spans="9:11" ht="15.75">
      <c r="I491" s="45"/>
      <c r="J491" s="45"/>
      <c r="K491" s="45"/>
    </row>
    <row r="492" spans="9:11" ht="15.75">
      <c r="I492" s="45"/>
      <c r="J492" s="45"/>
      <c r="K492" s="45"/>
    </row>
    <row r="493" spans="9:11" ht="15.75">
      <c r="I493" s="45"/>
      <c r="J493" s="45"/>
      <c r="K493" s="45"/>
    </row>
    <row r="494" spans="9:11" ht="15.75">
      <c r="I494" s="45"/>
      <c r="J494" s="45"/>
      <c r="K494" s="45"/>
    </row>
    <row r="495" spans="9:11" ht="15.75">
      <c r="I495" s="45"/>
      <c r="J495" s="45"/>
      <c r="K495" s="45"/>
    </row>
    <row r="496" spans="9:11" ht="15.75">
      <c r="I496" s="45"/>
      <c r="J496" s="45"/>
      <c r="K496" s="45"/>
    </row>
    <row r="497" spans="9:11" ht="15.75">
      <c r="I497" s="45"/>
      <c r="J497" s="45"/>
      <c r="K497" s="45"/>
    </row>
    <row r="498" spans="9:11" ht="15.75">
      <c r="I498" s="45"/>
      <c r="J498" s="45"/>
      <c r="K498" s="45"/>
    </row>
    <row r="499" spans="9:11" ht="15.75">
      <c r="I499" s="45"/>
      <c r="J499" s="45"/>
      <c r="K499" s="45"/>
    </row>
    <row r="500" spans="9:11" ht="15.75">
      <c r="I500" s="45"/>
      <c r="J500" s="45"/>
      <c r="K500" s="45"/>
    </row>
    <row r="501" spans="9:11" ht="15.75">
      <c r="I501" s="45"/>
      <c r="J501" s="45"/>
      <c r="K501" s="45"/>
    </row>
    <row r="502" spans="9:11" ht="15.75">
      <c r="I502" s="45"/>
      <c r="J502" s="45"/>
      <c r="K502" s="45"/>
    </row>
    <row r="503" spans="9:11" ht="15.75">
      <c r="I503" s="45"/>
      <c r="J503" s="45"/>
      <c r="K503" s="45"/>
    </row>
    <row r="504" spans="9:11" ht="15.75">
      <c r="I504" s="45"/>
      <c r="J504" s="45"/>
      <c r="K504" s="45"/>
    </row>
    <row r="505" spans="9:11" ht="15.75">
      <c r="I505" s="45"/>
      <c r="J505" s="45"/>
      <c r="K505" s="45"/>
    </row>
    <row r="506" spans="9:11" ht="15.75">
      <c r="I506" s="45"/>
      <c r="J506" s="45"/>
      <c r="K506" s="45"/>
    </row>
    <row r="507" spans="9:11" ht="15.75">
      <c r="I507" s="45"/>
      <c r="J507" s="45"/>
      <c r="K507" s="45"/>
    </row>
    <row r="508" spans="9:11" ht="15.75">
      <c r="I508" s="45"/>
      <c r="J508" s="45"/>
      <c r="K508" s="45"/>
    </row>
    <row r="509" spans="9:11" ht="15.75">
      <c r="I509" s="45"/>
      <c r="J509" s="45"/>
      <c r="K509" s="45"/>
    </row>
    <row r="510" spans="9:11" ht="15.75">
      <c r="I510" s="45"/>
      <c r="J510" s="45"/>
      <c r="K510" s="45"/>
    </row>
    <row r="511" spans="9:11" ht="15.75">
      <c r="I511" s="45"/>
      <c r="J511" s="45"/>
      <c r="K511" s="45"/>
    </row>
    <row r="512" spans="9:11" ht="15.75">
      <c r="I512" s="45"/>
      <c r="J512" s="45"/>
      <c r="K512" s="45"/>
    </row>
    <row r="513" spans="9:11" ht="15.75">
      <c r="I513" s="45"/>
      <c r="J513" s="45"/>
      <c r="K513" s="45"/>
    </row>
    <row r="514" spans="9:11" ht="15.75">
      <c r="I514" s="45"/>
      <c r="J514" s="45"/>
      <c r="K514" s="45"/>
    </row>
    <row r="515" spans="9:11" ht="15.75">
      <c r="I515" s="45"/>
      <c r="J515" s="45"/>
      <c r="K515" s="45"/>
    </row>
    <row r="516" spans="9:11" ht="15.75">
      <c r="I516" s="45"/>
      <c r="J516" s="45"/>
      <c r="K516" s="45"/>
    </row>
    <row r="517" spans="9:11" ht="15.75">
      <c r="I517" s="45"/>
      <c r="J517" s="45"/>
      <c r="K517" s="45"/>
    </row>
    <row r="518" spans="9:11" ht="15.75">
      <c r="I518" s="45"/>
      <c r="J518" s="45"/>
      <c r="K518" s="45"/>
    </row>
    <row r="519" spans="9:11" ht="15.75">
      <c r="I519" s="45"/>
      <c r="J519" s="45"/>
      <c r="K519" s="45"/>
    </row>
    <row r="520" spans="9:11" ht="15.75">
      <c r="I520" s="45"/>
      <c r="J520" s="45"/>
      <c r="K520" s="45"/>
    </row>
    <row r="521" spans="9:11" ht="15.75">
      <c r="I521" s="45"/>
      <c r="J521" s="45"/>
      <c r="K521" s="45"/>
    </row>
    <row r="522" spans="9:11" ht="15.75">
      <c r="I522" s="45"/>
      <c r="J522" s="45"/>
      <c r="K522" s="45"/>
    </row>
    <row r="523" spans="9:11" ht="15.75">
      <c r="I523" s="45"/>
      <c r="J523" s="45"/>
      <c r="K523" s="45"/>
    </row>
    <row r="524" spans="9:11" ht="15.75">
      <c r="I524" s="45"/>
      <c r="J524" s="45"/>
      <c r="K524" s="45"/>
    </row>
    <row r="525" spans="9:11" ht="15.75">
      <c r="I525" s="45"/>
      <c r="J525" s="45"/>
      <c r="K525" s="45"/>
    </row>
    <row r="526" spans="9:11" ht="15.75">
      <c r="I526" s="45"/>
      <c r="J526" s="45"/>
      <c r="K526" s="45"/>
    </row>
    <row r="527" spans="9:11" ht="15.75">
      <c r="I527" s="45"/>
      <c r="J527" s="45"/>
      <c r="K527" s="45"/>
    </row>
    <row r="528" spans="9:11" ht="15.75">
      <c r="I528" s="45"/>
      <c r="J528" s="45"/>
      <c r="K528" s="45"/>
    </row>
    <row r="529" spans="9:11" ht="15.75">
      <c r="I529" s="45"/>
      <c r="J529" s="45"/>
      <c r="K529" s="45"/>
    </row>
    <row r="530" spans="9:11" ht="15.75">
      <c r="I530" s="45"/>
      <c r="J530" s="45"/>
      <c r="K530" s="45"/>
    </row>
    <row r="531" spans="9:11" ht="15.75">
      <c r="I531" s="45"/>
      <c r="J531" s="45"/>
      <c r="K531" s="45"/>
    </row>
    <row r="532" spans="9:11" ht="15.75">
      <c r="I532" s="45"/>
      <c r="J532" s="45"/>
      <c r="K532" s="45"/>
    </row>
    <row r="533" spans="9:11" ht="15.75">
      <c r="I533" s="45"/>
      <c r="J533" s="45"/>
      <c r="K533" s="45"/>
    </row>
    <row r="534" spans="9:11" ht="15.75">
      <c r="I534" s="45"/>
      <c r="J534" s="45"/>
      <c r="K534" s="45"/>
    </row>
    <row r="535" spans="9:11" ht="15.75">
      <c r="I535" s="45"/>
      <c r="J535" s="45"/>
      <c r="K535" s="45"/>
    </row>
    <row r="536" spans="9:11" ht="15.75">
      <c r="I536" s="45"/>
      <c r="J536" s="45"/>
      <c r="K536" s="45"/>
    </row>
    <row r="537" spans="9:11" ht="15.75">
      <c r="I537" s="45"/>
      <c r="J537" s="45"/>
      <c r="K537" s="45"/>
    </row>
    <row r="538" spans="9:11" ht="15.75">
      <c r="I538" s="45"/>
      <c r="J538" s="45"/>
      <c r="K538" s="45"/>
    </row>
    <row r="539" spans="9:11" ht="15.75">
      <c r="I539" s="45"/>
      <c r="J539" s="45"/>
      <c r="K539" s="45"/>
    </row>
    <row r="540" spans="9:11" ht="15.75">
      <c r="I540" s="45"/>
      <c r="J540" s="45"/>
      <c r="K540" s="45"/>
    </row>
    <row r="541" spans="9:11" ht="15.75">
      <c r="I541" s="45"/>
      <c r="J541" s="45"/>
      <c r="K541" s="45"/>
    </row>
    <row r="542" spans="9:11" ht="15.75">
      <c r="I542" s="45"/>
      <c r="J542" s="45"/>
      <c r="K542" s="45"/>
    </row>
    <row r="543" spans="9:11" ht="15.75">
      <c r="I543" s="45"/>
      <c r="J543" s="45"/>
      <c r="K543" s="45"/>
    </row>
    <row r="544" spans="9:11" ht="15.75">
      <c r="I544" s="45"/>
      <c r="J544" s="45"/>
      <c r="K544" s="45"/>
    </row>
    <row r="545" spans="9:11" ht="15.75">
      <c r="I545" s="45"/>
      <c r="J545" s="45"/>
      <c r="K545" s="45"/>
    </row>
    <row r="546" spans="9:11" ht="15.75">
      <c r="I546" s="45"/>
      <c r="J546" s="45"/>
      <c r="K546" s="45"/>
    </row>
    <row r="547" spans="9:11" ht="15.75">
      <c r="I547" s="45"/>
      <c r="J547" s="45"/>
      <c r="K547" s="45"/>
    </row>
    <row r="548" spans="9:11" ht="15.75">
      <c r="I548" s="45"/>
      <c r="J548" s="45"/>
      <c r="K548" s="45"/>
    </row>
    <row r="549" spans="9:11" ht="15.75">
      <c r="I549" s="45"/>
      <c r="J549" s="45"/>
      <c r="K549" s="45"/>
    </row>
    <row r="550" spans="9:11" ht="15.75">
      <c r="I550" s="45"/>
      <c r="J550" s="45"/>
      <c r="K550" s="45"/>
    </row>
    <row r="551" spans="9:11" ht="15.75">
      <c r="I551" s="45"/>
      <c r="J551" s="45"/>
      <c r="K551" s="45"/>
    </row>
    <row r="552" spans="9:11" ht="15.75">
      <c r="I552" s="45"/>
      <c r="J552" s="45"/>
      <c r="K552" s="45"/>
    </row>
    <row r="553" spans="9:11" ht="15.75">
      <c r="I553" s="45"/>
      <c r="J553" s="45"/>
      <c r="K553" s="45"/>
    </row>
    <row r="554" spans="9:11" ht="15.75">
      <c r="I554" s="45"/>
      <c r="J554" s="45"/>
      <c r="K554" s="45"/>
    </row>
    <row r="555" spans="9:11" ht="15.75">
      <c r="I555" s="45"/>
      <c r="J555" s="45"/>
      <c r="K555" s="45"/>
    </row>
    <row r="556" spans="9:11" ht="15.75">
      <c r="I556" s="45"/>
      <c r="J556" s="45"/>
      <c r="K556" s="45"/>
    </row>
    <row r="557" spans="9:11" ht="15.75">
      <c r="I557" s="45"/>
      <c r="J557" s="45"/>
      <c r="K557" s="45"/>
    </row>
    <row r="558" spans="9:11" ht="15.75">
      <c r="I558" s="45"/>
      <c r="J558" s="45"/>
      <c r="K558" s="45"/>
    </row>
    <row r="559" spans="9:11" ht="15.75">
      <c r="I559" s="45"/>
      <c r="J559" s="45"/>
      <c r="K559" s="45"/>
    </row>
    <row r="560" spans="9:11" ht="15.75">
      <c r="I560" s="45"/>
      <c r="J560" s="45"/>
      <c r="K560" s="45"/>
    </row>
    <row r="561" spans="9:11" ht="15.75">
      <c r="I561" s="45"/>
      <c r="J561" s="45"/>
      <c r="K561" s="45"/>
    </row>
    <row r="562" spans="9:11" ht="15.75">
      <c r="I562" s="45"/>
      <c r="J562" s="45"/>
      <c r="K562" s="45"/>
    </row>
    <row r="563" spans="9:11" ht="15.75">
      <c r="I563" s="45"/>
      <c r="J563" s="45"/>
      <c r="K563" s="45"/>
    </row>
    <row r="564" spans="9:11" ht="15.75">
      <c r="I564" s="45"/>
      <c r="J564" s="45"/>
      <c r="K564" s="45"/>
    </row>
    <row r="565" spans="9:11" ht="15.75">
      <c r="I565" s="45"/>
      <c r="J565" s="45"/>
      <c r="K565" s="45"/>
    </row>
    <row r="566" spans="9:11" ht="15.75">
      <c r="I566" s="45"/>
      <c r="J566" s="45"/>
      <c r="K566" s="45"/>
    </row>
    <row r="567" spans="9:11" ht="15.75">
      <c r="I567" s="45"/>
      <c r="J567" s="45"/>
      <c r="K567" s="45"/>
    </row>
    <row r="568" spans="9:11" ht="15.75">
      <c r="I568" s="45"/>
      <c r="J568" s="45"/>
      <c r="K568" s="45"/>
    </row>
    <row r="569" spans="9:11" ht="15.75">
      <c r="I569" s="45"/>
      <c r="J569" s="45"/>
      <c r="K569" s="45"/>
    </row>
    <row r="570" spans="9:11" ht="15.75">
      <c r="I570" s="45"/>
      <c r="J570" s="45"/>
      <c r="K570" s="45"/>
    </row>
    <row r="571" spans="9:11" ht="15.75">
      <c r="I571" s="45"/>
      <c r="J571" s="45"/>
      <c r="K571" s="45"/>
    </row>
    <row r="572" spans="9:11" ht="15.75">
      <c r="I572" s="45"/>
      <c r="J572" s="45"/>
      <c r="K572" s="45"/>
    </row>
    <row r="573" spans="9:11" ht="15.75">
      <c r="I573" s="45"/>
      <c r="J573" s="45"/>
      <c r="K573" s="45"/>
    </row>
    <row r="574" spans="9:11" ht="15.75">
      <c r="I574" s="45"/>
      <c r="J574" s="45"/>
      <c r="K574" s="45"/>
    </row>
    <row r="575" spans="9:11" ht="15.75">
      <c r="I575" s="45"/>
      <c r="J575" s="45"/>
      <c r="K575" s="45"/>
    </row>
    <row r="576" spans="9:11" ht="15.75">
      <c r="I576" s="45"/>
      <c r="J576" s="45"/>
      <c r="K576" s="45"/>
    </row>
    <row r="577" spans="9:11" ht="15.75">
      <c r="I577" s="45"/>
      <c r="J577" s="45"/>
      <c r="K577" s="45"/>
    </row>
    <row r="578" spans="9:11" ht="15.75">
      <c r="I578" s="45"/>
      <c r="J578" s="45"/>
      <c r="K578" s="45"/>
    </row>
    <row r="579" spans="9:11" ht="15.75">
      <c r="I579" s="45"/>
      <c r="J579" s="45"/>
      <c r="K579" s="45"/>
    </row>
    <row r="580" spans="9:11" ht="15.75">
      <c r="I580" s="45"/>
      <c r="J580" s="45"/>
      <c r="K580" s="45"/>
    </row>
    <row r="581" spans="9:11" ht="15.75">
      <c r="I581" s="45"/>
      <c r="J581" s="45"/>
      <c r="K581" s="45"/>
    </row>
    <row r="582" spans="9:11" ht="15.75">
      <c r="I582" s="45"/>
      <c r="J582" s="45"/>
      <c r="K582" s="45"/>
    </row>
    <row r="583" spans="9:11" ht="15.75">
      <c r="I583" s="45"/>
      <c r="J583" s="45"/>
      <c r="K583" s="45"/>
    </row>
    <row r="584" spans="9:11" ht="15.75">
      <c r="I584" s="45"/>
      <c r="J584" s="45"/>
      <c r="K584" s="45"/>
    </row>
    <row r="585" spans="9:11" ht="15.75">
      <c r="I585" s="45"/>
      <c r="J585" s="45"/>
      <c r="K585" s="45"/>
    </row>
    <row r="586" spans="9:11" ht="15.75">
      <c r="I586" s="45"/>
      <c r="J586" s="45"/>
      <c r="K586" s="45"/>
    </row>
    <row r="587" spans="9:11" ht="15.75">
      <c r="I587" s="45"/>
      <c r="J587" s="45"/>
      <c r="K587" s="45"/>
    </row>
    <row r="588" spans="9:11" ht="15.75">
      <c r="I588" s="45"/>
      <c r="J588" s="45"/>
      <c r="K588" s="45"/>
    </row>
    <row r="589" spans="9:11" ht="15.75">
      <c r="I589" s="45"/>
      <c r="J589" s="45"/>
      <c r="K589" s="45"/>
    </row>
    <row r="590" spans="9:11" ht="15.75">
      <c r="I590" s="45"/>
      <c r="J590" s="45"/>
      <c r="K590" s="45"/>
    </row>
    <row r="591" spans="9:11" ht="15.75">
      <c r="I591" s="45"/>
      <c r="J591" s="45"/>
      <c r="K591" s="45"/>
    </row>
    <row r="592" spans="9:11" ht="15.75">
      <c r="I592" s="45"/>
      <c r="J592" s="45"/>
      <c r="K592" s="45"/>
    </row>
    <row r="593" spans="9:11" ht="15.75">
      <c r="I593" s="45"/>
      <c r="J593" s="45"/>
      <c r="K593" s="45"/>
    </row>
    <row r="594" spans="9:11" ht="15.75">
      <c r="I594" s="45"/>
      <c r="J594" s="45"/>
      <c r="K594" s="45"/>
    </row>
    <row r="595" spans="9:11" ht="15.75">
      <c r="I595" s="45"/>
      <c r="J595" s="45"/>
      <c r="K595" s="45"/>
    </row>
    <row r="596" spans="9:11" ht="15.75">
      <c r="I596" s="45"/>
      <c r="J596" s="45"/>
      <c r="K596" s="45"/>
    </row>
    <row r="597" spans="9:11" ht="15.75">
      <c r="I597" s="45"/>
      <c r="J597" s="45"/>
      <c r="K597" s="45"/>
    </row>
    <row r="598" spans="9:11" ht="15.75">
      <c r="I598" s="45"/>
      <c r="J598" s="45"/>
      <c r="K598" s="45"/>
    </row>
    <row r="599" spans="9:11" ht="15.75">
      <c r="I599" s="45"/>
      <c r="J599" s="45"/>
      <c r="K599" s="45"/>
    </row>
    <row r="600" spans="9:11" ht="15.75">
      <c r="I600" s="45"/>
      <c r="J600" s="45"/>
      <c r="K600" s="45"/>
    </row>
    <row r="601" spans="9:11" ht="15.75">
      <c r="I601" s="45"/>
      <c r="J601" s="45"/>
      <c r="K601" s="45"/>
    </row>
    <row r="602" spans="9:11" ht="15.75">
      <c r="I602" s="45"/>
      <c r="J602" s="45"/>
      <c r="K602" s="45"/>
    </row>
    <row r="603" spans="9:11" ht="15.75">
      <c r="I603" s="45"/>
      <c r="J603" s="45"/>
      <c r="K603" s="45"/>
    </row>
    <row r="604" spans="9:11" ht="15.75">
      <c r="I604" s="45"/>
      <c r="J604" s="45"/>
      <c r="K604" s="45"/>
    </row>
    <row r="605" spans="9:11" ht="15.75">
      <c r="I605" s="45"/>
      <c r="J605" s="45"/>
      <c r="K605" s="45"/>
    </row>
    <row r="606" spans="9:11" ht="15.75">
      <c r="I606" s="45"/>
      <c r="J606" s="45"/>
      <c r="K606" s="45"/>
    </row>
    <row r="607" spans="9:11" ht="15.75">
      <c r="I607" s="45"/>
      <c r="J607" s="45"/>
      <c r="K607" s="45"/>
    </row>
    <row r="608" spans="9:11" ht="15.75">
      <c r="I608" s="45"/>
      <c r="J608" s="45"/>
      <c r="K608" s="45"/>
    </row>
    <row r="609" spans="9:11" ht="15.75">
      <c r="I609" s="45"/>
      <c r="J609" s="45"/>
      <c r="K609" s="45"/>
    </row>
    <row r="610" spans="9:11" ht="15.75">
      <c r="I610" s="45"/>
      <c r="J610" s="45"/>
      <c r="K610" s="45"/>
    </row>
    <row r="611" spans="9:11" ht="15.75">
      <c r="I611" s="45"/>
      <c r="J611" s="45"/>
      <c r="K611" s="45"/>
    </row>
    <row r="612" spans="9:11" ht="15.75">
      <c r="I612" s="45"/>
      <c r="J612" s="45"/>
      <c r="K612" s="45"/>
    </row>
    <row r="613" spans="9:11" ht="15.75">
      <c r="I613" s="45"/>
      <c r="J613" s="45"/>
      <c r="K613" s="45"/>
    </row>
    <row r="614" spans="9:11" ht="15.75">
      <c r="I614" s="45"/>
      <c r="J614" s="45"/>
      <c r="K614" s="45"/>
    </row>
    <row r="615" spans="9:11" ht="15.75">
      <c r="I615" s="45"/>
      <c r="J615" s="45"/>
      <c r="K615" s="45"/>
    </row>
    <row r="616" spans="9:11" ht="15.75">
      <c r="I616" s="45"/>
      <c r="J616" s="45"/>
      <c r="K616" s="45"/>
    </row>
    <row r="617" spans="9:11" ht="15.75">
      <c r="I617" s="45"/>
      <c r="J617" s="45"/>
      <c r="K617" s="45"/>
    </row>
    <row r="618" spans="9:11" ht="15.75">
      <c r="I618" s="45"/>
      <c r="J618" s="45"/>
      <c r="K618" s="45"/>
    </row>
    <row r="619" spans="9:11" ht="15.75">
      <c r="I619" s="45"/>
      <c r="J619" s="45"/>
      <c r="K619" s="45"/>
    </row>
    <row r="620" spans="9:11" ht="15.75">
      <c r="I620" s="45"/>
      <c r="J620" s="45"/>
      <c r="K620" s="45"/>
    </row>
    <row r="621" spans="9:11" ht="15.75">
      <c r="I621" s="45"/>
      <c r="J621" s="45"/>
      <c r="K621" s="45"/>
    </row>
    <row r="622" spans="9:11" ht="15.75">
      <c r="I622" s="45"/>
      <c r="J622" s="45"/>
      <c r="K622" s="45"/>
    </row>
    <row r="623" spans="9:11" ht="15.75">
      <c r="I623" s="45"/>
      <c r="J623" s="45"/>
      <c r="K623" s="45"/>
    </row>
    <row r="624" spans="9:11" ht="15.75">
      <c r="I624" s="45"/>
      <c r="J624" s="45"/>
      <c r="K624" s="45"/>
    </row>
    <row r="625" spans="9:11" ht="15.75">
      <c r="I625" s="45"/>
      <c r="J625" s="45"/>
      <c r="K625" s="45"/>
    </row>
    <row r="626" spans="9:11" ht="15.75">
      <c r="I626" s="45"/>
      <c r="J626" s="45"/>
      <c r="K626" s="45"/>
    </row>
    <row r="627" spans="9:11" ht="15.75">
      <c r="I627" s="45"/>
      <c r="J627" s="45"/>
      <c r="K627" s="45"/>
    </row>
    <row r="628" spans="9:11" ht="15.75">
      <c r="I628" s="45"/>
      <c r="J628" s="45"/>
      <c r="K628" s="45"/>
    </row>
    <row r="629" spans="9:11" ht="15.75">
      <c r="I629" s="45"/>
      <c r="J629" s="45"/>
      <c r="K629" s="45"/>
    </row>
    <row r="630" spans="9:11" ht="15.75">
      <c r="I630" s="45"/>
      <c r="J630" s="45"/>
      <c r="K630" s="45"/>
    </row>
    <row r="631" spans="9:11" ht="15.75">
      <c r="I631" s="45"/>
      <c r="J631" s="45"/>
      <c r="K631" s="45"/>
    </row>
    <row r="632" spans="9:11" ht="15.75">
      <c r="I632" s="45"/>
      <c r="J632" s="45"/>
      <c r="K632" s="45"/>
    </row>
    <row r="633" spans="9:11" ht="15.75">
      <c r="I633" s="45"/>
      <c r="J633" s="45"/>
      <c r="K633" s="45"/>
    </row>
    <row r="634" spans="9:11" ht="15.75">
      <c r="I634" s="45"/>
      <c r="J634" s="45"/>
      <c r="K634" s="45"/>
    </row>
    <row r="635" spans="9:11" ht="15.75">
      <c r="I635" s="45"/>
      <c r="J635" s="45"/>
      <c r="K635" s="45"/>
    </row>
    <row r="636" spans="9:11" ht="15.75">
      <c r="I636" s="45"/>
      <c r="J636" s="45"/>
      <c r="K636" s="45"/>
    </row>
    <row r="637" spans="9:11" ht="15.75">
      <c r="I637" s="45"/>
      <c r="J637" s="45"/>
      <c r="K637" s="45"/>
    </row>
    <row r="638" spans="9:11" ht="15.75">
      <c r="I638" s="45"/>
      <c r="J638" s="45"/>
      <c r="K638" s="45"/>
    </row>
    <row r="639" spans="9:11" ht="15.75">
      <c r="I639" s="45"/>
      <c r="J639" s="45"/>
      <c r="K639" s="45"/>
    </row>
    <row r="640" spans="9:11" ht="15.75">
      <c r="I640" s="45"/>
      <c r="J640" s="45"/>
      <c r="K640" s="45"/>
    </row>
    <row r="641" spans="9:11" ht="15.75">
      <c r="I641" s="45"/>
      <c r="J641" s="45"/>
      <c r="K641" s="45"/>
    </row>
    <row r="642" spans="9:11" ht="15.75">
      <c r="I642" s="45"/>
      <c r="J642" s="45"/>
      <c r="K642" s="45"/>
    </row>
    <row r="643" spans="9:11" ht="15.75">
      <c r="I643" s="45"/>
      <c r="J643" s="45"/>
      <c r="K643" s="45"/>
    </row>
    <row r="644" spans="9:11" ht="15.75">
      <c r="I644" s="45"/>
      <c r="J644" s="45"/>
      <c r="K644" s="45"/>
    </row>
    <row r="645" spans="9:11" ht="15.75">
      <c r="I645" s="45"/>
      <c r="J645" s="45"/>
      <c r="K645" s="45"/>
    </row>
    <row r="646" spans="9:11" ht="15.75">
      <c r="I646" s="45"/>
      <c r="J646" s="45"/>
      <c r="K646" s="45"/>
    </row>
    <row r="647" spans="9:11" ht="15.75">
      <c r="I647" s="45"/>
      <c r="J647" s="45"/>
      <c r="K647" s="45"/>
    </row>
    <row r="648" spans="9:11" ht="15.75">
      <c r="I648" s="45"/>
      <c r="J648" s="45"/>
      <c r="K648" s="45"/>
    </row>
    <row r="649" spans="9:11" ht="15.75">
      <c r="I649" s="45"/>
      <c r="J649" s="45"/>
      <c r="K649" s="45"/>
    </row>
    <row r="650" spans="9:11" ht="15.75">
      <c r="I650" s="45"/>
      <c r="J650" s="45"/>
      <c r="K650" s="45"/>
    </row>
    <row r="651" spans="9:11" ht="15.75">
      <c r="I651" s="45"/>
      <c r="J651" s="45"/>
      <c r="K651" s="45"/>
    </row>
    <row r="652" spans="9:11" ht="15.75">
      <c r="I652" s="45"/>
      <c r="J652" s="45"/>
      <c r="K652" s="45"/>
    </row>
    <row r="653" spans="9:11" ht="15.75">
      <c r="I653" s="45"/>
      <c r="J653" s="45"/>
      <c r="K653" s="45"/>
    </row>
    <row r="654" spans="9:11" ht="15.75">
      <c r="I654" s="45"/>
      <c r="J654" s="45"/>
      <c r="K654" s="45"/>
    </row>
    <row r="655" spans="9:11" ht="15.75">
      <c r="I655" s="45"/>
      <c r="J655" s="45"/>
      <c r="K655" s="45"/>
    </row>
    <row r="656" spans="9:11" ht="15.75">
      <c r="I656" s="45"/>
      <c r="J656" s="45"/>
      <c r="K656" s="45"/>
    </row>
    <row r="657" spans="9:11" ht="15.75">
      <c r="I657" s="45"/>
      <c r="J657" s="45"/>
      <c r="K657" s="45"/>
    </row>
    <row r="658" spans="9:11" ht="15.75">
      <c r="I658" s="45"/>
      <c r="J658" s="45"/>
      <c r="K658" s="45"/>
    </row>
    <row r="659" spans="9:11" ht="15.75">
      <c r="I659" s="45"/>
      <c r="J659" s="45"/>
      <c r="K659" s="45"/>
    </row>
    <row r="660" spans="9:11" ht="15.75">
      <c r="I660" s="45"/>
      <c r="J660" s="45"/>
      <c r="K660" s="45"/>
    </row>
    <row r="661" spans="9:11" ht="15.75">
      <c r="I661" s="45"/>
      <c r="J661" s="45"/>
      <c r="K661" s="45"/>
    </row>
    <row r="662" spans="9:11" ht="15.75">
      <c r="I662" s="45"/>
      <c r="J662" s="45"/>
      <c r="K662" s="45"/>
    </row>
    <row r="663" spans="9:11" ht="15.75">
      <c r="I663" s="45"/>
      <c r="J663" s="45"/>
      <c r="K663" s="45"/>
    </row>
    <row r="664" spans="9:11" ht="15.75">
      <c r="I664" s="45"/>
      <c r="J664" s="45"/>
      <c r="K664" s="45"/>
    </row>
    <row r="665" spans="9:11" ht="15.75">
      <c r="I665" s="45"/>
      <c r="J665" s="45"/>
      <c r="K665" s="45"/>
    </row>
    <row r="666" spans="9:11" ht="15.75">
      <c r="I666" s="45"/>
      <c r="J666" s="45"/>
      <c r="K666" s="45"/>
    </row>
    <row r="667" spans="9:11" ht="15.75">
      <c r="I667" s="45"/>
      <c r="J667" s="45"/>
      <c r="K667" s="45"/>
    </row>
    <row r="668" spans="9:11" ht="15.75">
      <c r="I668" s="45"/>
      <c r="J668" s="45"/>
      <c r="K668" s="45"/>
    </row>
    <row r="669" spans="9:11" ht="15.75">
      <c r="I669" s="45"/>
      <c r="J669" s="45"/>
      <c r="K669" s="45"/>
    </row>
    <row r="670" spans="9:11" ht="15.75">
      <c r="I670" s="45"/>
      <c r="J670" s="45"/>
      <c r="K670" s="45"/>
    </row>
    <row r="671" spans="9:11" ht="15.75">
      <c r="I671" s="45"/>
      <c r="J671" s="45"/>
      <c r="K671" s="45"/>
    </row>
    <row r="672" spans="9:11" ht="15.75">
      <c r="I672" s="45"/>
      <c r="J672" s="45"/>
      <c r="K672" s="45"/>
    </row>
    <row r="673" spans="9:11" ht="15.75">
      <c r="I673" s="45"/>
      <c r="J673" s="45"/>
      <c r="K673" s="45"/>
    </row>
    <row r="674" spans="9:11" ht="15.75">
      <c r="I674" s="45"/>
      <c r="J674" s="45"/>
      <c r="K674" s="45"/>
    </row>
    <row r="675" spans="9:11" ht="15.75">
      <c r="I675" s="45"/>
      <c r="J675" s="45"/>
      <c r="K675" s="45"/>
    </row>
    <row r="676" spans="9:11" ht="15.75">
      <c r="I676" s="45"/>
      <c r="J676" s="45"/>
      <c r="K676" s="45"/>
    </row>
    <row r="677" spans="9:11" ht="15.75">
      <c r="I677" s="45"/>
      <c r="J677" s="45"/>
      <c r="K677" s="45"/>
    </row>
    <row r="678" spans="9:11" ht="15.75">
      <c r="I678" s="45"/>
      <c r="J678" s="45"/>
      <c r="K678" s="45"/>
    </row>
    <row r="679" spans="9:11" ht="15.75">
      <c r="I679" s="45"/>
      <c r="J679" s="45"/>
      <c r="K679" s="45"/>
    </row>
    <row r="680" spans="9:11" ht="15.75">
      <c r="I680" s="45"/>
      <c r="J680" s="45"/>
      <c r="K680" s="45"/>
    </row>
    <row r="681" spans="9:11" ht="15.75">
      <c r="I681" s="45"/>
      <c r="J681" s="45"/>
      <c r="K681" s="45"/>
    </row>
    <row r="682" spans="9:11" ht="15.75">
      <c r="I682" s="45"/>
      <c r="J682" s="45"/>
      <c r="K682" s="45"/>
    </row>
    <row r="683" spans="9:11" ht="15.75">
      <c r="I683" s="45"/>
      <c r="J683" s="45"/>
      <c r="K683" s="45"/>
    </row>
    <row r="684" spans="9:11" ht="15.75">
      <c r="I684" s="45"/>
      <c r="J684" s="45"/>
      <c r="K684" s="45"/>
    </row>
    <row r="685" spans="9:11" ht="15.75">
      <c r="I685" s="45"/>
      <c r="J685" s="45"/>
      <c r="K685" s="45"/>
    </row>
    <row r="686" spans="9:11" ht="15.75">
      <c r="I686" s="45"/>
      <c r="J686" s="45"/>
      <c r="K686" s="45"/>
    </row>
    <row r="687" spans="9:11" ht="15.75">
      <c r="I687" s="45"/>
      <c r="J687" s="45"/>
      <c r="K687" s="45"/>
    </row>
    <row r="688" spans="9:11" ht="15.75">
      <c r="I688" s="45"/>
      <c r="J688" s="45"/>
      <c r="K688" s="45"/>
    </row>
    <row r="689" spans="9:11" ht="15.75">
      <c r="I689" s="45"/>
      <c r="J689" s="45"/>
      <c r="K689" s="45"/>
    </row>
    <row r="690" spans="9:11" ht="15.75">
      <c r="I690" s="45"/>
      <c r="J690" s="45"/>
      <c r="K690" s="45"/>
    </row>
    <row r="691" spans="9:11" ht="15.75">
      <c r="I691" s="45"/>
      <c r="J691" s="45"/>
      <c r="K691" s="45"/>
    </row>
    <row r="692" spans="9:11" ht="15.75">
      <c r="I692" s="45"/>
      <c r="J692" s="45"/>
      <c r="K692" s="45"/>
    </row>
    <row r="693" spans="9:11" ht="15.75">
      <c r="I693" s="45"/>
      <c r="J693" s="45"/>
      <c r="K693" s="45"/>
    </row>
    <row r="694" spans="9:11" ht="15.75">
      <c r="I694" s="45"/>
      <c r="J694" s="45"/>
      <c r="K694" s="45"/>
    </row>
    <row r="695" spans="9:11" ht="15.75">
      <c r="I695" s="45"/>
      <c r="J695" s="45"/>
      <c r="K695" s="45"/>
    </row>
    <row r="696" spans="9:11" ht="15.75">
      <c r="I696" s="45"/>
      <c r="J696" s="45"/>
      <c r="K696" s="45"/>
    </row>
    <row r="697" spans="9:11" ht="15.75">
      <c r="I697" s="45"/>
      <c r="J697" s="45"/>
      <c r="K697" s="45"/>
    </row>
    <row r="698" spans="9:11" ht="15.75">
      <c r="I698" s="45"/>
      <c r="J698" s="45"/>
      <c r="K698" s="45"/>
    </row>
    <row r="699" spans="9:11" ht="15.75">
      <c r="I699" s="45"/>
      <c r="J699" s="45"/>
      <c r="K699" s="45"/>
    </row>
    <row r="700" spans="9:11" ht="15.75">
      <c r="I700" s="45"/>
      <c r="J700" s="45"/>
      <c r="K700" s="45"/>
    </row>
    <row r="701" spans="9:11" ht="15.75">
      <c r="I701" s="45"/>
      <c r="J701" s="45"/>
      <c r="K701" s="45"/>
    </row>
    <row r="702" spans="9:11" ht="15.75">
      <c r="I702" s="45"/>
      <c r="J702" s="45"/>
      <c r="K702" s="45"/>
    </row>
    <row r="703" spans="9:11" ht="15.75">
      <c r="I703" s="45"/>
      <c r="J703" s="45"/>
      <c r="K703" s="45"/>
    </row>
    <row r="704" spans="9:11" ht="15.75">
      <c r="I704" s="45"/>
      <c r="J704" s="45"/>
      <c r="K704" s="45"/>
    </row>
    <row r="705" spans="9:11" ht="15.75">
      <c r="I705" s="45"/>
      <c r="J705" s="45"/>
      <c r="K705" s="45"/>
    </row>
    <row r="706" spans="9:11" ht="15.75">
      <c r="I706" s="45"/>
      <c r="J706" s="45"/>
      <c r="K706" s="45"/>
    </row>
    <row r="707" spans="9:11" ht="15.75">
      <c r="I707" s="45"/>
      <c r="J707" s="45"/>
      <c r="K707" s="45"/>
    </row>
    <row r="708" spans="9:11" ht="15.75">
      <c r="I708" s="45"/>
      <c r="J708" s="45"/>
      <c r="K708" s="45"/>
    </row>
    <row r="709" spans="9:11" ht="15.75">
      <c r="I709" s="45"/>
      <c r="J709" s="45"/>
      <c r="K709" s="45"/>
    </row>
    <row r="710" spans="9:11" ht="15.75">
      <c r="I710" s="45"/>
      <c r="J710" s="45"/>
      <c r="K710" s="45"/>
    </row>
    <row r="711" spans="9:11" ht="15.75">
      <c r="I711" s="45"/>
      <c r="J711" s="45"/>
      <c r="K711" s="45"/>
    </row>
    <row r="712" spans="9:11" ht="15.75">
      <c r="I712" s="45"/>
      <c r="J712" s="45"/>
      <c r="K712" s="45"/>
    </row>
    <row r="713" spans="9:11" ht="15.75">
      <c r="I713" s="45"/>
      <c r="J713" s="45"/>
      <c r="K713" s="45"/>
    </row>
    <row r="714" spans="9:11" ht="15.75">
      <c r="I714" s="45"/>
      <c r="J714" s="45"/>
      <c r="K714" s="45"/>
    </row>
    <row r="715" spans="9:11" ht="15.75">
      <c r="I715" s="45"/>
      <c r="J715" s="45"/>
      <c r="K715" s="45"/>
    </row>
    <row r="716" spans="9:11" ht="15.75">
      <c r="I716" s="45"/>
      <c r="J716" s="45"/>
      <c r="K716" s="45"/>
    </row>
    <row r="717" spans="9:11" ht="15.75">
      <c r="I717" s="45"/>
      <c r="J717" s="45"/>
      <c r="K717" s="45"/>
    </row>
    <row r="718" spans="9:11" ht="15.75">
      <c r="I718" s="45"/>
      <c r="J718" s="45"/>
      <c r="K718" s="45"/>
    </row>
    <row r="719" spans="9:11" ht="15.75">
      <c r="I719" s="45"/>
      <c r="J719" s="45"/>
      <c r="K719" s="45"/>
    </row>
    <row r="720" spans="9:11" ht="15.75">
      <c r="I720" s="45"/>
      <c r="J720" s="45"/>
      <c r="K720" s="45"/>
    </row>
    <row r="721" spans="9:11" ht="15.75">
      <c r="I721" s="45"/>
      <c r="J721" s="45"/>
      <c r="K721" s="45"/>
    </row>
    <row r="722" spans="9:11" ht="15.75">
      <c r="I722" s="45"/>
      <c r="J722" s="45"/>
      <c r="K722" s="45"/>
    </row>
    <row r="723" spans="9:11" ht="15.75">
      <c r="I723" s="45"/>
      <c r="J723" s="45"/>
      <c r="K723" s="45"/>
    </row>
    <row r="724" spans="9:11" ht="15.75">
      <c r="I724" s="45"/>
      <c r="J724" s="45"/>
      <c r="K724" s="45"/>
    </row>
    <row r="725" spans="9:11" ht="15.75">
      <c r="I725" s="45"/>
      <c r="J725" s="45"/>
      <c r="K725" s="45"/>
    </row>
    <row r="726" spans="9:11" ht="15.75">
      <c r="I726" s="45"/>
      <c r="J726" s="45"/>
      <c r="K726" s="45"/>
    </row>
    <row r="727" spans="9:11" ht="15.75">
      <c r="I727" s="45"/>
      <c r="J727" s="45"/>
      <c r="K727" s="45"/>
    </row>
    <row r="728" spans="9:11" ht="15.75">
      <c r="I728" s="45"/>
      <c r="J728" s="45"/>
      <c r="K728" s="45"/>
    </row>
    <row r="729" spans="9:11" ht="15.75">
      <c r="I729" s="45"/>
      <c r="J729" s="45"/>
      <c r="K729" s="45"/>
    </row>
    <row r="730" spans="9:11" ht="15.75">
      <c r="I730" s="45"/>
      <c r="J730" s="45"/>
      <c r="K730" s="45"/>
    </row>
    <row r="731" spans="9:11" ht="15.75">
      <c r="I731" s="45"/>
      <c r="J731" s="45"/>
      <c r="K731" s="45"/>
    </row>
    <row r="732" spans="9:11" ht="15.75">
      <c r="I732" s="45"/>
      <c r="J732" s="45"/>
      <c r="K732" s="45"/>
    </row>
    <row r="733" spans="9:11" ht="15.75">
      <c r="I733" s="45"/>
      <c r="J733" s="45"/>
      <c r="K733" s="45"/>
    </row>
    <row r="734" spans="9:11" ht="15.75">
      <c r="I734" s="45"/>
      <c r="J734" s="45"/>
      <c r="K734" s="45"/>
    </row>
    <row r="735" spans="9:11" ht="15.75">
      <c r="I735" s="45"/>
      <c r="J735" s="45"/>
      <c r="K735" s="45"/>
    </row>
    <row r="736" spans="9:11" ht="15.75">
      <c r="I736" s="45"/>
      <c r="J736" s="45"/>
      <c r="K736" s="45"/>
    </row>
    <row r="737" spans="9:11" ht="15.75">
      <c r="I737" s="45"/>
      <c r="J737" s="45"/>
      <c r="K737" s="45"/>
    </row>
    <row r="738" spans="9:11" ht="15.75">
      <c r="I738" s="45"/>
      <c r="J738" s="45"/>
      <c r="K738" s="45"/>
    </row>
    <row r="739" spans="9:11" ht="15.75">
      <c r="I739" s="45"/>
      <c r="J739" s="45"/>
      <c r="K739" s="45"/>
    </row>
    <row r="740" spans="9:11" ht="15.75">
      <c r="I740" s="45"/>
      <c r="J740" s="45"/>
      <c r="K740" s="45"/>
    </row>
    <row r="741" spans="9:11" ht="15.75">
      <c r="I741" s="45"/>
      <c r="J741" s="45"/>
      <c r="K741" s="45"/>
    </row>
    <row r="742" spans="9:11" ht="15.75">
      <c r="I742" s="45"/>
      <c r="J742" s="45"/>
      <c r="K742" s="45"/>
    </row>
    <row r="743" spans="9:11" ht="15.75">
      <c r="I743" s="45"/>
      <c r="J743" s="45"/>
      <c r="K743" s="45"/>
    </row>
    <row r="744" spans="9:11" ht="15.75">
      <c r="I744" s="45"/>
      <c r="J744" s="45"/>
      <c r="K744" s="45"/>
    </row>
    <row r="745" spans="9:11" ht="15.75">
      <c r="I745" s="45"/>
      <c r="J745" s="45"/>
      <c r="K745" s="45"/>
    </row>
    <row r="746" spans="9:11" ht="15.75">
      <c r="I746" s="45"/>
      <c r="J746" s="45"/>
      <c r="K746" s="45"/>
    </row>
    <row r="747" spans="9:11" ht="15.75">
      <c r="I747" s="45"/>
      <c r="J747" s="45"/>
      <c r="K747" s="45"/>
    </row>
    <row r="748" spans="9:11" ht="15.75">
      <c r="I748" s="45"/>
      <c r="J748" s="45"/>
      <c r="K748" s="45"/>
    </row>
    <row r="749" spans="9:11" ht="15.75">
      <c r="I749" s="45"/>
      <c r="J749" s="45"/>
      <c r="K749" s="45"/>
    </row>
    <row r="750" spans="9:11" ht="15.75">
      <c r="I750" s="45"/>
      <c r="J750" s="45"/>
      <c r="K750" s="45"/>
    </row>
    <row r="751" spans="9:11" ht="15.75">
      <c r="I751" s="45"/>
      <c r="J751" s="45"/>
      <c r="K751" s="45"/>
    </row>
    <row r="752" spans="9:11" ht="15.75">
      <c r="I752" s="45"/>
      <c r="J752" s="45"/>
      <c r="K752" s="45"/>
    </row>
    <row r="753" spans="9:11" ht="15.75">
      <c r="I753" s="45"/>
      <c r="J753" s="45"/>
      <c r="K753" s="45"/>
    </row>
    <row r="754" spans="9:11" ht="15.75">
      <c r="I754" s="45"/>
      <c r="J754" s="45"/>
      <c r="K754" s="45"/>
    </row>
    <row r="755" spans="9:11" ht="15.75">
      <c r="I755" s="45"/>
      <c r="J755" s="45"/>
      <c r="K755" s="45"/>
    </row>
    <row r="756" spans="9:11" ht="15.75">
      <c r="I756" s="45"/>
      <c r="J756" s="45"/>
      <c r="K756" s="45"/>
    </row>
    <row r="757" spans="9:11" ht="15.75">
      <c r="I757" s="45"/>
      <c r="J757" s="45"/>
      <c r="K757" s="45"/>
    </row>
    <row r="758" spans="9:11" ht="15.75">
      <c r="I758" s="45"/>
      <c r="J758" s="45"/>
      <c r="K758" s="45"/>
    </row>
    <row r="759" spans="9:11" ht="15.75">
      <c r="I759" s="45"/>
      <c r="J759" s="45"/>
      <c r="K759" s="45"/>
    </row>
    <row r="760" spans="9:11" ht="15.75">
      <c r="I760" s="45"/>
      <c r="J760" s="45"/>
      <c r="K760" s="45"/>
    </row>
    <row r="761" spans="9:11" ht="15.75">
      <c r="I761" s="45"/>
      <c r="J761" s="45"/>
      <c r="K761" s="45"/>
    </row>
    <row r="762" spans="9:11" ht="15.75">
      <c r="I762" s="45"/>
      <c r="J762" s="45"/>
      <c r="K762" s="45"/>
    </row>
    <row r="763" spans="9:11" ht="15.75">
      <c r="I763" s="45"/>
      <c r="J763" s="45"/>
      <c r="K763" s="45"/>
    </row>
    <row r="764" spans="9:11" ht="15.75">
      <c r="I764" s="45"/>
      <c r="J764" s="45"/>
      <c r="K764" s="45"/>
    </row>
    <row r="765" spans="9:11" ht="15.75">
      <c r="I765" s="45"/>
      <c r="J765" s="45"/>
      <c r="K765" s="45"/>
    </row>
    <row r="766" spans="9:11" ht="15.75">
      <c r="I766" s="45"/>
      <c r="J766" s="45"/>
      <c r="K766" s="45"/>
    </row>
    <row r="767" spans="9:11" ht="15.75">
      <c r="I767" s="45"/>
      <c r="J767" s="45"/>
      <c r="K767" s="45"/>
    </row>
    <row r="768" spans="9:11" ht="15.75">
      <c r="I768" s="45"/>
      <c r="J768" s="45"/>
      <c r="K768" s="45"/>
    </row>
    <row r="769" spans="9:11" ht="15.75">
      <c r="I769" s="45"/>
      <c r="J769" s="45"/>
      <c r="K769" s="45"/>
    </row>
    <row r="770" spans="9:11" ht="15.75">
      <c r="I770" s="45"/>
      <c r="J770" s="45"/>
      <c r="K770" s="45"/>
    </row>
    <row r="771" spans="9:11" ht="15.75">
      <c r="I771" s="45"/>
      <c r="J771" s="45"/>
      <c r="K771" s="45"/>
    </row>
    <row r="772" spans="9:11" ht="15.75">
      <c r="I772" s="45"/>
      <c r="J772" s="45"/>
      <c r="K772" s="45"/>
    </row>
    <row r="773" spans="9:11" ht="15.75">
      <c r="I773" s="45"/>
      <c r="J773" s="45"/>
      <c r="K773" s="45"/>
    </row>
    <row r="774" spans="9:11" ht="15.75">
      <c r="I774" s="45"/>
      <c r="J774" s="45"/>
      <c r="K774" s="45"/>
    </row>
    <row r="775" spans="9:11" ht="15.75">
      <c r="I775" s="45"/>
      <c r="J775" s="45"/>
      <c r="K775" s="45"/>
    </row>
    <row r="776" spans="9:11" ht="15.75">
      <c r="I776" s="45"/>
      <c r="J776" s="45"/>
      <c r="K776" s="45"/>
    </row>
    <row r="777" spans="9:11" ht="15.75">
      <c r="I777" s="45"/>
      <c r="J777" s="45"/>
      <c r="K777" s="45"/>
    </row>
    <row r="778" spans="9:11" ht="15.75">
      <c r="I778" s="45"/>
      <c r="J778" s="45"/>
      <c r="K778" s="45"/>
    </row>
    <row r="779" spans="9:11" ht="15.75">
      <c r="I779" s="45"/>
      <c r="J779" s="45"/>
      <c r="K779" s="45"/>
    </row>
    <row r="780" spans="9:11" ht="15.75">
      <c r="I780" s="45"/>
      <c r="J780" s="45"/>
      <c r="K780" s="45"/>
    </row>
    <row r="781" spans="9:11" ht="15.75">
      <c r="I781" s="45"/>
      <c r="J781" s="45"/>
      <c r="K781" s="45"/>
    </row>
    <row r="782" spans="9:11" ht="15.75">
      <c r="I782" s="45"/>
      <c r="J782" s="45"/>
      <c r="K782" s="45"/>
    </row>
    <row r="783" spans="9:11" ht="15.75">
      <c r="I783" s="45"/>
      <c r="J783" s="45"/>
      <c r="K783" s="45"/>
    </row>
    <row r="784" spans="9:11" ht="15.75">
      <c r="I784" s="45"/>
      <c r="J784" s="45"/>
      <c r="K784" s="45"/>
    </row>
    <row r="785" spans="9:11" ht="15.75">
      <c r="I785" s="45"/>
      <c r="J785" s="45"/>
      <c r="K785" s="45"/>
    </row>
    <row r="786" spans="9:11" ht="15.75">
      <c r="I786" s="45"/>
      <c r="J786" s="45"/>
      <c r="K786" s="45"/>
    </row>
    <row r="787" spans="9:11" ht="15.75">
      <c r="I787" s="45"/>
      <c r="J787" s="45"/>
      <c r="K787" s="45"/>
    </row>
    <row r="788" spans="9:11" ht="15.75">
      <c r="I788" s="45"/>
      <c r="J788" s="45"/>
      <c r="K788" s="45"/>
    </row>
    <row r="789" spans="9:11" ht="15.75">
      <c r="I789" s="45"/>
      <c r="J789" s="45"/>
      <c r="K789" s="45"/>
    </row>
    <row r="790" spans="9:11" ht="15.75">
      <c r="I790" s="45"/>
      <c r="J790" s="45"/>
      <c r="K790" s="45"/>
    </row>
    <row r="791" spans="9:11" ht="15.75">
      <c r="I791" s="45"/>
      <c r="J791" s="45"/>
      <c r="K791" s="45"/>
    </row>
    <row r="792" spans="9:11" ht="15.75">
      <c r="I792" s="45"/>
      <c r="J792" s="45"/>
      <c r="K792" s="45"/>
    </row>
    <row r="793" spans="9:11" ht="15.75">
      <c r="I793" s="45"/>
      <c r="J793" s="45"/>
      <c r="K793" s="45"/>
    </row>
    <row r="794" spans="9:11" ht="15.75">
      <c r="I794" s="45"/>
      <c r="J794" s="45"/>
      <c r="K794" s="45"/>
    </row>
    <row r="795" spans="9:11" ht="15.75">
      <c r="I795" s="45"/>
      <c r="J795" s="45"/>
      <c r="K795" s="45"/>
    </row>
    <row r="796" spans="9:11" ht="15.75">
      <c r="I796" s="45"/>
      <c r="J796" s="45"/>
      <c r="K796" s="45"/>
    </row>
    <row r="797" spans="9:11" ht="15.75">
      <c r="I797" s="45"/>
      <c r="J797" s="45"/>
      <c r="K797" s="45"/>
    </row>
    <row r="798" spans="9:11" ht="15.75">
      <c r="I798" s="45"/>
      <c r="J798" s="45"/>
      <c r="K798" s="45"/>
    </row>
    <row r="799" spans="9:11" ht="15.75">
      <c r="I799" s="45"/>
      <c r="J799" s="45"/>
      <c r="K799" s="45"/>
    </row>
    <row r="800" spans="9:11" ht="15.75">
      <c r="I800" s="45"/>
      <c r="J800" s="45"/>
      <c r="K800" s="45"/>
    </row>
    <row r="801" spans="9:11" ht="15.75">
      <c r="I801" s="45"/>
      <c r="J801" s="45"/>
      <c r="K801" s="45"/>
    </row>
    <row r="802" spans="9:11" ht="15.75">
      <c r="I802" s="45"/>
      <c r="J802" s="45"/>
      <c r="K802" s="45"/>
    </row>
    <row r="803" spans="9:11" ht="15.75">
      <c r="I803" s="45"/>
      <c r="J803" s="45"/>
      <c r="K803" s="45"/>
    </row>
    <row r="804" spans="9:11" ht="15.75">
      <c r="I804" s="45"/>
      <c r="J804" s="45"/>
      <c r="K804" s="45"/>
    </row>
    <row r="805" spans="9:11" ht="15.75">
      <c r="I805" s="45"/>
      <c r="J805" s="45"/>
      <c r="K805" s="45"/>
    </row>
    <row r="806" spans="9:11" ht="15.75">
      <c r="I806" s="45"/>
      <c r="J806" s="45"/>
      <c r="K806" s="45"/>
    </row>
    <row r="807" spans="9:11" ht="15.75">
      <c r="I807" s="45"/>
      <c r="J807" s="45"/>
      <c r="K807" s="45"/>
    </row>
    <row r="808" spans="9:11" ht="15.75">
      <c r="I808" s="45"/>
      <c r="J808" s="45"/>
      <c r="K808" s="45"/>
    </row>
    <row r="809" spans="9:11" ht="15.75">
      <c r="I809" s="45"/>
      <c r="J809" s="45"/>
      <c r="K809" s="45"/>
    </row>
    <row r="810" spans="9:11" ht="15.75">
      <c r="I810" s="45"/>
      <c r="J810" s="45"/>
      <c r="K810" s="45"/>
    </row>
    <row r="811" spans="9:11" ht="15.75">
      <c r="I811" s="45"/>
      <c r="J811" s="45"/>
      <c r="K811" s="45"/>
    </row>
    <row r="812" spans="9:11" ht="15.75">
      <c r="I812" s="45"/>
      <c r="J812" s="45"/>
      <c r="K812" s="45"/>
    </row>
    <row r="813" spans="9:11" ht="15.75">
      <c r="I813" s="45"/>
      <c r="J813" s="45"/>
      <c r="K813" s="45"/>
    </row>
    <row r="814" spans="9:11" ht="15.75">
      <c r="I814" s="45"/>
      <c r="J814" s="45"/>
      <c r="K814" s="45"/>
    </row>
    <row r="815" spans="9:11" ht="15.75">
      <c r="I815" s="45"/>
      <c r="J815" s="45"/>
      <c r="K815" s="45"/>
    </row>
    <row r="816" spans="9:11" ht="15.75">
      <c r="I816" s="45"/>
      <c r="J816" s="45"/>
      <c r="K816" s="45"/>
    </row>
    <row r="817" spans="9:11" ht="15.75">
      <c r="I817" s="45"/>
      <c r="J817" s="45"/>
      <c r="K817" s="45"/>
    </row>
    <row r="818" spans="9:11" ht="15.75">
      <c r="I818" s="45"/>
      <c r="J818" s="45"/>
      <c r="K818" s="45"/>
    </row>
    <row r="819" spans="9:11" ht="15.75">
      <c r="I819" s="45"/>
      <c r="J819" s="45"/>
      <c r="K819" s="45"/>
    </row>
    <row r="820" spans="9:11" ht="15.75">
      <c r="I820" s="45"/>
      <c r="J820" s="45"/>
      <c r="K820" s="45"/>
    </row>
    <row r="821" spans="9:11" ht="15.75">
      <c r="I821" s="45"/>
      <c r="J821" s="45"/>
      <c r="K821" s="45"/>
    </row>
    <row r="822" spans="9:11" ht="15.75">
      <c r="I822" s="45"/>
      <c r="J822" s="45"/>
      <c r="K822" s="45"/>
    </row>
    <row r="823" spans="9:11" ht="15.75">
      <c r="I823" s="45"/>
      <c r="J823" s="45"/>
      <c r="K823" s="45"/>
    </row>
    <row r="824" spans="9:11" ht="15.75">
      <c r="I824" s="45"/>
      <c r="J824" s="45"/>
      <c r="K824" s="45"/>
    </row>
    <row r="825" spans="9:11" ht="15.75">
      <c r="I825" s="45"/>
      <c r="J825" s="45"/>
      <c r="K825" s="45"/>
    </row>
    <row r="826" spans="9:11" ht="15.75">
      <c r="I826" s="45"/>
      <c r="J826" s="45"/>
      <c r="K826" s="45"/>
    </row>
    <row r="827" spans="9:11" ht="15.75">
      <c r="I827" s="45"/>
      <c r="J827" s="45"/>
      <c r="K827" s="45"/>
    </row>
    <row r="828" spans="9:11" ht="15.75">
      <c r="I828" s="45"/>
      <c r="J828" s="45"/>
      <c r="K828" s="45"/>
    </row>
    <row r="829" spans="9:11" ht="15.75">
      <c r="I829" s="45"/>
      <c r="J829" s="45"/>
      <c r="K829" s="45"/>
    </row>
    <row r="830" spans="9:11" ht="15.75">
      <c r="I830" s="45"/>
      <c r="J830" s="45"/>
      <c r="K830" s="45"/>
    </row>
    <row r="831" spans="9:11" ht="15.75">
      <c r="I831" s="45"/>
      <c r="J831" s="45"/>
      <c r="K831" s="45"/>
    </row>
    <row r="832" spans="9:11" ht="15.75">
      <c r="I832" s="45"/>
      <c r="J832" s="45"/>
      <c r="K832" s="45"/>
    </row>
    <row r="833" spans="9:11" ht="15.75">
      <c r="I833" s="45"/>
      <c r="J833" s="45"/>
      <c r="K833" s="45"/>
    </row>
    <row r="834" spans="9:11" ht="15.75">
      <c r="I834" s="45"/>
      <c r="J834" s="45"/>
      <c r="K834" s="45"/>
    </row>
    <row r="835" spans="9:11" ht="15.75">
      <c r="I835" s="45"/>
      <c r="J835" s="45"/>
      <c r="K835" s="45"/>
    </row>
    <row r="836" spans="9:11" ht="15.75">
      <c r="I836" s="45"/>
      <c r="J836" s="45"/>
      <c r="K836" s="45"/>
    </row>
    <row r="837" spans="9:11" ht="15.75">
      <c r="I837" s="45"/>
      <c r="J837" s="45"/>
      <c r="K837" s="45"/>
    </row>
    <row r="838" spans="9:11" ht="15.75">
      <c r="I838" s="45"/>
      <c r="J838" s="45"/>
      <c r="K838" s="45"/>
    </row>
    <row r="839" spans="9:11" ht="15.75">
      <c r="I839" s="45"/>
      <c r="J839" s="45"/>
      <c r="K839" s="45"/>
    </row>
    <row r="840" spans="9:11" ht="15.75">
      <c r="I840" s="45"/>
      <c r="J840" s="45"/>
      <c r="K840" s="45"/>
    </row>
    <row r="841" spans="9:11" ht="15.75">
      <c r="I841" s="45"/>
      <c r="J841" s="45"/>
      <c r="K841" s="45"/>
    </row>
    <row r="842" spans="9:11" ht="15.75">
      <c r="I842" s="45"/>
      <c r="J842" s="45"/>
      <c r="K842" s="45"/>
    </row>
    <row r="843" spans="9:11" ht="15.75">
      <c r="I843" s="45"/>
      <c r="J843" s="45"/>
      <c r="K843" s="45"/>
    </row>
    <row r="844" spans="9:11" ht="15.75">
      <c r="I844" s="45"/>
      <c r="J844" s="45"/>
      <c r="K844" s="45"/>
    </row>
    <row r="845" spans="9:11" ht="15.75">
      <c r="I845" s="45"/>
      <c r="J845" s="45"/>
      <c r="K845" s="45"/>
    </row>
    <row r="846" spans="9:11" ht="15.75">
      <c r="I846" s="45"/>
      <c r="J846" s="45"/>
      <c r="K846" s="45"/>
    </row>
    <row r="847" spans="9:11" ht="15.75">
      <c r="I847" s="45"/>
      <c r="J847" s="45"/>
      <c r="K847" s="45"/>
    </row>
    <row r="848" spans="9:11" ht="15.75">
      <c r="I848" s="45"/>
      <c r="J848" s="45"/>
      <c r="K848" s="45"/>
    </row>
    <row r="849" spans="9:11" ht="15.75">
      <c r="I849" s="45"/>
      <c r="J849" s="45"/>
      <c r="K849" s="45"/>
    </row>
    <row r="850" spans="9:11" ht="15.75">
      <c r="I850" s="45"/>
      <c r="J850" s="45"/>
      <c r="K850" s="45"/>
    </row>
    <row r="851" spans="9:11" ht="15.75">
      <c r="I851" s="45"/>
      <c r="J851" s="45"/>
      <c r="K851" s="45"/>
    </row>
    <row r="852" spans="9:11" ht="15.75">
      <c r="I852" s="45"/>
      <c r="J852" s="45"/>
      <c r="K852" s="45"/>
    </row>
    <row r="853" spans="9:11" ht="15.75">
      <c r="I853" s="45"/>
      <c r="J853" s="45"/>
      <c r="K853" s="45"/>
    </row>
    <row r="854" spans="9:11" ht="15.75">
      <c r="I854" s="45"/>
      <c r="J854" s="45"/>
      <c r="K854" s="45"/>
    </row>
    <row r="855" spans="9:11" ht="15.75">
      <c r="I855" s="45"/>
      <c r="J855" s="45"/>
      <c r="K855" s="45"/>
    </row>
    <row r="856" spans="9:11" ht="15.75">
      <c r="I856" s="45"/>
      <c r="J856" s="45"/>
      <c r="K856" s="45"/>
    </row>
    <row r="857" spans="9:11" ht="15.75">
      <c r="I857" s="45"/>
      <c r="J857" s="45"/>
      <c r="K857" s="45"/>
    </row>
    <row r="858" spans="9:11" ht="15.75">
      <c r="I858" s="45"/>
      <c r="J858" s="45"/>
      <c r="K858" s="45"/>
    </row>
    <row r="859" spans="9:11" ht="15.75">
      <c r="I859" s="45"/>
      <c r="J859" s="45"/>
      <c r="K859" s="45"/>
    </row>
    <row r="860" spans="9:11" ht="15.75">
      <c r="I860" s="45"/>
      <c r="J860" s="45"/>
      <c r="K860" s="45"/>
    </row>
    <row r="861" spans="9:11" ht="15.75">
      <c r="I861" s="45"/>
      <c r="J861" s="45"/>
      <c r="K861" s="45"/>
    </row>
    <row r="862" spans="9:11" ht="15.75">
      <c r="I862" s="45"/>
      <c r="J862" s="45"/>
      <c r="K862" s="45"/>
    </row>
    <row r="863" spans="9:11" ht="15.75">
      <c r="I863" s="45"/>
      <c r="J863" s="45"/>
      <c r="K863" s="45"/>
    </row>
    <row r="864" spans="9:11" ht="15.75">
      <c r="I864" s="45"/>
      <c r="J864" s="45"/>
      <c r="K864" s="45"/>
    </row>
    <row r="865" spans="9:11" ht="15.75">
      <c r="I865" s="45"/>
      <c r="J865" s="45"/>
      <c r="K865" s="45"/>
    </row>
    <row r="866" spans="9:11" ht="15.75">
      <c r="I866" s="45"/>
      <c r="J866" s="45"/>
      <c r="K866" s="45"/>
    </row>
    <row r="867" spans="9:11" ht="15.75">
      <c r="I867" s="45"/>
      <c r="J867" s="45"/>
      <c r="K867" s="45"/>
    </row>
    <row r="868" spans="9:11" ht="15.75">
      <c r="I868" s="45"/>
      <c r="J868" s="45"/>
      <c r="K868" s="45"/>
    </row>
    <row r="869" spans="9:11" ht="15.75">
      <c r="I869" s="45"/>
      <c r="J869" s="45"/>
      <c r="K869" s="45"/>
    </row>
    <row r="870" spans="9:11" ht="15.75">
      <c r="I870" s="45"/>
      <c r="J870" s="45"/>
      <c r="K870" s="45"/>
    </row>
    <row r="871" spans="9:11" ht="15.75">
      <c r="I871" s="45"/>
      <c r="J871" s="45"/>
      <c r="K871" s="45"/>
    </row>
    <row r="872" spans="9:11" ht="15.75">
      <c r="I872" s="45"/>
      <c r="J872" s="45"/>
      <c r="K872" s="45"/>
    </row>
    <row r="873" spans="9:11" ht="15.75">
      <c r="I873" s="45"/>
      <c r="J873" s="45"/>
      <c r="K873" s="45"/>
    </row>
    <row r="874" spans="9:11" ht="15.75">
      <c r="I874" s="45"/>
      <c r="J874" s="45"/>
      <c r="K874" s="45"/>
    </row>
    <row r="875" spans="9:11" ht="15.75">
      <c r="I875" s="45"/>
      <c r="J875" s="45"/>
      <c r="K875" s="45"/>
    </row>
    <row r="876" spans="9:11" ht="15.75">
      <c r="I876" s="45"/>
      <c r="J876" s="45"/>
      <c r="K876" s="45"/>
    </row>
    <row r="877" spans="9:11" ht="15.75">
      <c r="I877" s="45"/>
      <c r="J877" s="45"/>
      <c r="K877" s="45"/>
    </row>
    <row r="878" spans="9:11" ht="15.75">
      <c r="I878" s="45"/>
      <c r="J878" s="45"/>
      <c r="K878" s="45"/>
    </row>
    <row r="879" spans="9:11" ht="15.75">
      <c r="I879" s="45"/>
      <c r="J879" s="45"/>
      <c r="K879" s="45"/>
    </row>
    <row r="880" spans="9:11" ht="15.75">
      <c r="I880" s="45"/>
      <c r="J880" s="45"/>
      <c r="K880" s="45"/>
    </row>
    <row r="881" spans="9:11" ht="15.75">
      <c r="I881" s="45"/>
      <c r="J881" s="45"/>
      <c r="K881" s="45"/>
    </row>
    <row r="882" spans="9:11" ht="15.75">
      <c r="I882" s="45"/>
      <c r="J882" s="45"/>
      <c r="K882" s="45"/>
    </row>
    <row r="883" spans="9:11" ht="15.75">
      <c r="I883" s="45"/>
      <c r="J883" s="45"/>
      <c r="K883" s="45"/>
    </row>
    <row r="884" spans="9:11" ht="15.75">
      <c r="I884" s="45"/>
      <c r="J884" s="45"/>
      <c r="K884" s="45"/>
    </row>
    <row r="885" spans="9:11" ht="15.75">
      <c r="I885" s="45"/>
      <c r="J885" s="45"/>
      <c r="K885" s="45"/>
    </row>
    <row r="886" spans="9:11" ht="15.75">
      <c r="I886" s="45"/>
      <c r="J886" s="45"/>
      <c r="K886" s="45"/>
    </row>
    <row r="887" spans="9:11" ht="15.75">
      <c r="I887" s="45"/>
      <c r="J887" s="45"/>
      <c r="K887" s="45"/>
    </row>
    <row r="888" spans="9:11" ht="15.75">
      <c r="I888" s="45"/>
      <c r="J888" s="45"/>
      <c r="K888" s="45"/>
    </row>
    <row r="889" spans="9:11" ht="15.75">
      <c r="I889" s="45"/>
      <c r="J889" s="45"/>
      <c r="K889" s="45"/>
    </row>
    <row r="890" spans="9:11" ht="15.75">
      <c r="I890" s="45"/>
      <c r="J890" s="45"/>
      <c r="K890" s="45"/>
    </row>
    <row r="891" spans="9:11" ht="15.75">
      <c r="I891" s="45"/>
      <c r="J891" s="45"/>
      <c r="K891" s="45"/>
    </row>
    <row r="892" spans="9:11" ht="15.75">
      <c r="I892" s="45"/>
      <c r="J892" s="45"/>
      <c r="K892" s="45"/>
    </row>
    <row r="893" spans="9:11" ht="15.75">
      <c r="I893" s="45"/>
      <c r="J893" s="45"/>
      <c r="K893" s="45"/>
    </row>
    <row r="894" spans="9:11" ht="15.75">
      <c r="I894" s="45"/>
      <c r="J894" s="45"/>
      <c r="K894" s="45"/>
    </row>
    <row r="895" spans="9:11" ht="15.75">
      <c r="I895" s="45"/>
      <c r="J895" s="45"/>
      <c r="K895" s="45"/>
    </row>
    <row r="896" spans="9:11" ht="15.75">
      <c r="I896" s="45"/>
      <c r="J896" s="45"/>
      <c r="K896" s="45"/>
    </row>
    <row r="897" spans="9:11" ht="15.75">
      <c r="I897" s="45"/>
      <c r="J897" s="45"/>
      <c r="K897" s="45"/>
    </row>
    <row r="898" spans="9:11" ht="15.75">
      <c r="I898" s="45"/>
      <c r="J898" s="45"/>
      <c r="K898" s="45"/>
    </row>
    <row r="899" spans="9:11" ht="15.75">
      <c r="I899" s="45"/>
      <c r="J899" s="45"/>
      <c r="K899" s="45"/>
    </row>
    <row r="900" spans="9:11" ht="15.75">
      <c r="I900" s="45"/>
      <c r="J900" s="45"/>
      <c r="K900" s="45"/>
    </row>
    <row r="901" spans="9:11" ht="15.75">
      <c r="I901" s="45"/>
      <c r="J901" s="45"/>
      <c r="K901" s="45"/>
    </row>
    <row r="902" spans="9:11" ht="15.75">
      <c r="I902" s="45"/>
      <c r="J902" s="45"/>
      <c r="K902" s="45"/>
    </row>
    <row r="903" spans="9:11" ht="15.75">
      <c r="I903" s="45"/>
      <c r="J903" s="45"/>
      <c r="K903" s="45"/>
    </row>
    <row r="904" spans="9:11" ht="15.75">
      <c r="I904" s="45"/>
      <c r="J904" s="45"/>
      <c r="K904" s="45"/>
    </row>
    <row r="905" spans="9:11" ht="15.75">
      <c r="I905" s="45"/>
      <c r="J905" s="45"/>
      <c r="K905" s="45"/>
    </row>
    <row r="906" spans="9:11" ht="15.75">
      <c r="I906" s="45"/>
      <c r="J906" s="45"/>
      <c r="K906" s="45"/>
    </row>
    <row r="907" spans="9:11" ht="15.75">
      <c r="I907" s="45"/>
      <c r="J907" s="45"/>
      <c r="K907" s="45"/>
    </row>
    <row r="908" spans="9:11" ht="15.75">
      <c r="I908" s="45"/>
      <c r="J908" s="45"/>
      <c r="K908" s="45"/>
    </row>
    <row r="909" spans="9:11" ht="15.75">
      <c r="I909" s="45"/>
      <c r="J909" s="45"/>
      <c r="K909" s="45"/>
    </row>
    <row r="910" spans="9:11" ht="15.75">
      <c r="I910" s="45"/>
      <c r="J910" s="45"/>
      <c r="K910" s="45"/>
    </row>
    <row r="911" spans="9:11" ht="15.75">
      <c r="I911" s="45"/>
      <c r="J911" s="45"/>
      <c r="K911" s="45"/>
    </row>
    <row r="912" spans="9:11" ht="15.75">
      <c r="I912" s="45"/>
      <c r="J912" s="45"/>
      <c r="K912" s="45"/>
    </row>
    <row r="913" spans="9:11" ht="15.75">
      <c r="I913" s="45"/>
      <c r="J913" s="45"/>
      <c r="K913" s="45"/>
    </row>
    <row r="914" spans="9:11" ht="15.75">
      <c r="I914" s="45"/>
      <c r="J914" s="45"/>
      <c r="K914" s="45"/>
    </row>
    <row r="915" spans="9:11" ht="15.75">
      <c r="I915" s="45"/>
      <c r="J915" s="45"/>
      <c r="K915" s="45"/>
    </row>
    <row r="916" spans="9:11" ht="15.75">
      <c r="I916" s="45"/>
      <c r="J916" s="45"/>
      <c r="K916" s="45"/>
    </row>
    <row r="917" spans="9:11" ht="15.75">
      <c r="I917" s="45"/>
      <c r="J917" s="45"/>
      <c r="K917" s="45"/>
    </row>
    <row r="918" spans="9:11" ht="15.75">
      <c r="I918" s="45"/>
      <c r="J918" s="45"/>
      <c r="K918" s="45"/>
    </row>
    <row r="919" spans="9:11" ht="15.75">
      <c r="I919" s="45"/>
      <c r="J919" s="45"/>
      <c r="K919" s="45"/>
    </row>
    <row r="920" spans="9:11" ht="15.75">
      <c r="I920" s="45"/>
      <c r="J920" s="45"/>
      <c r="K920" s="45"/>
    </row>
    <row r="921" spans="9:11" ht="15.75">
      <c r="I921" s="45"/>
      <c r="J921" s="45"/>
      <c r="K921" s="45"/>
    </row>
    <row r="922" spans="9:11" ht="15.75">
      <c r="I922" s="45"/>
      <c r="J922" s="45"/>
      <c r="K922" s="45"/>
    </row>
    <row r="923" spans="9:11" ht="15.75">
      <c r="I923" s="45"/>
      <c r="J923" s="45"/>
      <c r="K923" s="45"/>
    </row>
    <row r="924" spans="9:11" ht="15.75">
      <c r="I924" s="45"/>
      <c r="J924" s="45"/>
      <c r="K924" s="45"/>
    </row>
    <row r="925" spans="9:11" ht="15.75">
      <c r="I925" s="45"/>
      <c r="J925" s="45"/>
      <c r="K925" s="45"/>
    </row>
    <row r="926" spans="9:11" ht="15.75">
      <c r="I926" s="45"/>
      <c r="J926" s="45"/>
      <c r="K926" s="45"/>
    </row>
    <row r="927" spans="9:11" ht="15.75">
      <c r="I927" s="45"/>
      <c r="J927" s="45"/>
      <c r="K927" s="45"/>
    </row>
    <row r="928" spans="9:11" ht="15.75">
      <c r="I928" s="45"/>
      <c r="J928" s="45"/>
      <c r="K928" s="45"/>
    </row>
    <row r="929" spans="9:11" ht="15.75">
      <c r="I929" s="45"/>
      <c r="J929" s="45"/>
      <c r="K929" s="45"/>
    </row>
    <row r="930" spans="9:11" ht="15.75">
      <c r="I930" s="45"/>
      <c r="J930" s="45"/>
      <c r="K930" s="45"/>
    </row>
    <row r="931" spans="9:11" ht="15.75">
      <c r="I931" s="45"/>
      <c r="J931" s="45"/>
      <c r="K931" s="45"/>
    </row>
    <row r="932" spans="9:11" ht="15.75">
      <c r="I932" s="45"/>
      <c r="J932" s="45"/>
      <c r="K932" s="45"/>
    </row>
    <row r="933" spans="9:11" ht="15.75">
      <c r="I933" s="45"/>
      <c r="J933" s="45"/>
      <c r="K933" s="45"/>
    </row>
    <row r="934" spans="9:11" ht="15.75">
      <c r="I934" s="45"/>
      <c r="J934" s="45"/>
      <c r="K934" s="45"/>
    </row>
    <row r="935" spans="9:11" ht="15.75">
      <c r="I935" s="45"/>
      <c r="J935" s="45"/>
      <c r="K935" s="45"/>
    </row>
    <row r="936" spans="9:11" ht="15.75">
      <c r="I936" s="45"/>
      <c r="J936" s="45"/>
      <c r="K936" s="45"/>
    </row>
    <row r="937" spans="9:11" ht="15.75">
      <c r="I937" s="45"/>
      <c r="J937" s="45"/>
      <c r="K937" s="45"/>
    </row>
    <row r="938" spans="9:11" ht="15.75">
      <c r="I938" s="45"/>
      <c r="J938" s="45"/>
      <c r="K938" s="45"/>
    </row>
    <row r="939" spans="9:11" ht="15.75">
      <c r="I939" s="45"/>
      <c r="J939" s="45"/>
      <c r="K939" s="45"/>
    </row>
    <row r="940" spans="9:11" ht="15.75">
      <c r="I940" s="45"/>
      <c r="J940" s="45"/>
      <c r="K940" s="45"/>
    </row>
    <row r="941" spans="9:11" ht="15.75">
      <c r="I941" s="45"/>
      <c r="J941" s="45"/>
      <c r="K941" s="45"/>
    </row>
    <row r="942" spans="9:11" ht="15.75">
      <c r="I942" s="45"/>
      <c r="J942" s="45"/>
      <c r="K942" s="45"/>
    </row>
    <row r="943" spans="9:11" ht="15.75">
      <c r="I943" s="45"/>
      <c r="J943" s="45"/>
      <c r="K943" s="45"/>
    </row>
    <row r="944" spans="9:11" ht="15.75">
      <c r="I944" s="45"/>
      <c r="J944" s="45"/>
      <c r="K944" s="45"/>
    </row>
    <row r="945" spans="9:11" ht="15.75">
      <c r="I945" s="45"/>
      <c r="J945" s="45"/>
      <c r="K945" s="45"/>
    </row>
    <row r="946" spans="9:11" ht="15.75">
      <c r="I946" s="45"/>
      <c r="J946" s="45"/>
      <c r="K946" s="45"/>
    </row>
    <row r="947" spans="9:11" ht="15.75">
      <c r="I947" s="45"/>
      <c r="J947" s="45"/>
      <c r="K947" s="45"/>
    </row>
    <row r="948" spans="9:11" ht="15.75">
      <c r="I948" s="45"/>
      <c r="J948" s="45"/>
      <c r="K948" s="45"/>
    </row>
    <row r="949" spans="9:11" ht="15.75">
      <c r="I949" s="45"/>
      <c r="J949" s="45"/>
      <c r="K949" s="45"/>
    </row>
    <row r="950" spans="9:11" ht="15.75">
      <c r="I950" s="45"/>
      <c r="J950" s="45"/>
      <c r="K950" s="45"/>
    </row>
    <row r="951" spans="9:11" ht="15.75">
      <c r="I951" s="45"/>
      <c r="J951" s="45"/>
      <c r="K951" s="45"/>
    </row>
    <row r="952" spans="9:11" ht="15.75">
      <c r="I952" s="45"/>
      <c r="J952" s="45"/>
      <c r="K952" s="45"/>
    </row>
    <row r="953" spans="9:11" ht="15.75">
      <c r="I953" s="45"/>
      <c r="J953" s="45"/>
      <c r="K953" s="45"/>
    </row>
    <row r="954" spans="9:11" ht="15.75">
      <c r="I954" s="45"/>
      <c r="J954" s="45"/>
      <c r="K954" s="45"/>
    </row>
    <row r="955" spans="9:11" ht="15.75">
      <c r="I955" s="45"/>
      <c r="J955" s="45"/>
      <c r="K955" s="45"/>
    </row>
    <row r="956" spans="9:11" ht="15.75">
      <c r="I956" s="45"/>
      <c r="J956" s="45"/>
      <c r="K956" s="45"/>
    </row>
    <row r="957" spans="9:11" ht="15.75">
      <c r="I957" s="45"/>
      <c r="J957" s="45"/>
      <c r="K957" s="45"/>
    </row>
    <row r="958" spans="9:11" ht="15.75">
      <c r="I958" s="45"/>
      <c r="J958" s="45"/>
      <c r="K958" s="45"/>
    </row>
    <row r="959" spans="9:11" ht="15.75">
      <c r="I959" s="45"/>
      <c r="J959" s="45"/>
      <c r="K959" s="45"/>
    </row>
    <row r="960" spans="9:11" ht="15.75">
      <c r="I960" s="45"/>
      <c r="J960" s="45"/>
      <c r="K960" s="45"/>
    </row>
    <row r="961" spans="9:11" ht="15.75">
      <c r="I961" s="45"/>
      <c r="J961" s="45"/>
      <c r="K961" s="45"/>
    </row>
    <row r="962" spans="9:11" ht="15.75">
      <c r="I962" s="45"/>
      <c r="J962" s="45"/>
      <c r="K962" s="45"/>
    </row>
    <row r="963" spans="9:11" ht="15.75">
      <c r="I963" s="45"/>
      <c r="J963" s="45"/>
      <c r="K963" s="45"/>
    </row>
    <row r="964" spans="9:11" ht="15.75">
      <c r="I964" s="45"/>
      <c r="J964" s="45"/>
      <c r="K964" s="45"/>
    </row>
    <row r="965" spans="9:11" ht="15.75">
      <c r="I965" s="45"/>
      <c r="J965" s="45"/>
      <c r="K965" s="45"/>
    </row>
    <row r="966" spans="9:11" ht="15.75">
      <c r="I966" s="45"/>
      <c r="J966" s="45"/>
      <c r="K966" s="45"/>
    </row>
    <row r="967" spans="9:11" ht="15.75">
      <c r="I967" s="45"/>
      <c r="J967" s="45"/>
      <c r="K967" s="45"/>
    </row>
    <row r="968" spans="9:11" ht="15.75">
      <c r="I968" s="45"/>
      <c r="J968" s="45"/>
      <c r="K968" s="45"/>
    </row>
    <row r="969" spans="9:11" ht="15.75">
      <c r="I969" s="45"/>
      <c r="J969" s="45"/>
      <c r="K969" s="45"/>
    </row>
    <row r="970" spans="9:11" ht="15.75">
      <c r="I970" s="45"/>
      <c r="J970" s="45"/>
      <c r="K970" s="45"/>
    </row>
    <row r="971" spans="9:11" ht="15.75">
      <c r="I971" s="45"/>
      <c r="J971" s="45"/>
      <c r="K971" s="45"/>
    </row>
    <row r="972" spans="9:11" ht="15.75">
      <c r="I972" s="45"/>
      <c r="J972" s="45"/>
      <c r="K972" s="45"/>
    </row>
    <row r="973" spans="9:11" ht="15.75">
      <c r="I973" s="45"/>
      <c r="J973" s="45"/>
      <c r="K973" s="45"/>
    </row>
    <row r="974" spans="9:11" ht="15.75">
      <c r="I974" s="45"/>
      <c r="J974" s="45"/>
      <c r="K974" s="45"/>
    </row>
    <row r="975" spans="9:11" ht="15.75">
      <c r="I975" s="45"/>
      <c r="J975" s="45"/>
      <c r="K975" s="45"/>
    </row>
    <row r="976" spans="9:11" ht="15.75">
      <c r="I976" s="45"/>
      <c r="J976" s="45"/>
      <c r="K976" s="45"/>
    </row>
    <row r="977" spans="9:11" ht="15.75">
      <c r="I977" s="45"/>
      <c r="J977" s="45"/>
      <c r="K977" s="45"/>
    </row>
    <row r="978" spans="9:11" ht="15.75">
      <c r="I978" s="45"/>
      <c r="J978" s="45"/>
      <c r="K978" s="45"/>
    </row>
    <row r="979" spans="9:11" ht="15.75">
      <c r="I979" s="45"/>
      <c r="J979" s="45"/>
      <c r="K979" s="45"/>
    </row>
    <row r="980" spans="9:11" ht="15.75">
      <c r="I980" s="45"/>
      <c r="J980" s="45"/>
      <c r="K980" s="45"/>
    </row>
    <row r="981" spans="9:11" ht="15.75">
      <c r="I981" s="45"/>
      <c r="J981" s="45"/>
      <c r="K981" s="45"/>
    </row>
    <row r="982" spans="9:11" ht="15.75">
      <c r="I982" s="45"/>
      <c r="J982" s="45"/>
      <c r="K982" s="45"/>
    </row>
    <row r="983" spans="9:11" ht="15.75">
      <c r="I983" s="45"/>
      <c r="J983" s="45"/>
      <c r="K983" s="45"/>
    </row>
    <row r="984" spans="9:11" ht="15.75">
      <c r="I984" s="45"/>
      <c r="J984" s="45"/>
      <c r="K984" s="45"/>
    </row>
    <row r="985" spans="9:11" ht="15.75">
      <c r="I985" s="45"/>
      <c r="J985" s="45"/>
      <c r="K985" s="45"/>
    </row>
    <row r="986" spans="9:11" ht="15.75">
      <c r="I986" s="45"/>
      <c r="J986" s="45"/>
      <c r="K986" s="45"/>
    </row>
    <row r="987" spans="9:11" ht="15.75">
      <c r="I987" s="45"/>
      <c r="J987" s="45"/>
      <c r="K987" s="45"/>
    </row>
    <row r="988" spans="9:11" ht="15.75">
      <c r="I988" s="45"/>
      <c r="J988" s="45"/>
      <c r="K988" s="45"/>
    </row>
    <row r="989" spans="9:11" ht="15.75">
      <c r="I989" s="45"/>
      <c r="J989" s="45"/>
      <c r="K989" s="45"/>
    </row>
    <row r="990" spans="9:11" ht="15.75">
      <c r="I990" s="45"/>
      <c r="J990" s="45"/>
      <c r="K990" s="45"/>
    </row>
    <row r="991" spans="9:11" ht="15.75">
      <c r="I991" s="45"/>
      <c r="J991" s="45"/>
      <c r="K991" s="45"/>
    </row>
    <row r="992" spans="9:11" ht="15.75">
      <c r="I992" s="45"/>
      <c r="J992" s="45"/>
      <c r="K992" s="45"/>
    </row>
    <row r="993" spans="9:11" ht="15.75">
      <c r="I993" s="45"/>
      <c r="J993" s="45"/>
      <c r="K993" s="45"/>
    </row>
    <row r="994" spans="9:11" ht="15.75">
      <c r="I994" s="45"/>
      <c r="J994" s="45"/>
      <c r="K994" s="45"/>
    </row>
    <row r="995" spans="9:11" ht="15.75">
      <c r="I995" s="45"/>
      <c r="J995" s="45"/>
      <c r="K995" s="45"/>
    </row>
    <row r="996" spans="9:11" ht="15.75">
      <c r="I996" s="45"/>
      <c r="J996" s="45"/>
      <c r="K996" s="45"/>
    </row>
    <row r="997" spans="9:11" ht="15.75">
      <c r="I997" s="45"/>
      <c r="J997" s="45"/>
      <c r="K997" s="45"/>
    </row>
    <row r="998" spans="9:11" ht="15.75">
      <c r="I998" s="45"/>
      <c r="J998" s="45"/>
      <c r="K998" s="45"/>
    </row>
    <row r="999" spans="9:11" ht="15.75">
      <c r="I999" s="45"/>
      <c r="J999" s="45"/>
      <c r="K999" s="45"/>
    </row>
    <row r="1000" spans="9:11" ht="15.75">
      <c r="I1000" s="45"/>
      <c r="J1000" s="45"/>
      <c r="K1000" s="45"/>
    </row>
  </sheetData>
  <sheetProtection/>
  <mergeCells count="5">
    <mergeCell ref="C18:E18"/>
    <mergeCell ref="E8:F8"/>
    <mergeCell ref="I14:K14"/>
    <mergeCell ref="H4:J4"/>
    <mergeCell ref="F17:G17"/>
  </mergeCells>
  <printOptions/>
  <pageMargins left="0.75" right="0.75" top="1" bottom="1" header="0.5" footer="0.5"/>
  <pageSetup fitToHeight="1" fitToWidth="1" horizontalDpi="300" verticalDpi="300" orientation="landscape" scale="78"/>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BJ1000"/>
  <sheetViews>
    <sheetView defaultGridColor="0" zoomScale="75" zoomScaleNormal="75" colorId="22" workbookViewId="0" topLeftCell="AU186">
      <selection activeCell="BL219" sqref="BL219"/>
    </sheetView>
  </sheetViews>
  <sheetFormatPr defaultColWidth="8.88671875" defaultRowHeight="15"/>
  <cols>
    <col min="1" max="1" width="17.88671875" style="0" customWidth="1"/>
    <col min="2" max="2" width="13.99609375" style="0" customWidth="1"/>
    <col min="3" max="3" width="10.10546875" style="0" customWidth="1"/>
    <col min="4" max="6" width="11.99609375" style="0" customWidth="1"/>
    <col min="7" max="7" width="7.88671875" style="0" customWidth="1"/>
    <col min="8" max="8" width="11.4453125" style="0" customWidth="1"/>
    <col min="9" max="9" width="10.10546875" style="0" customWidth="1"/>
    <col min="10" max="10" width="11.4453125" style="0" customWidth="1"/>
    <col min="11" max="11" width="8.6640625" style="0" customWidth="1"/>
    <col min="12" max="12" width="11.4453125" style="0" customWidth="1"/>
    <col min="13" max="13" width="8.88671875" style="0" customWidth="1"/>
    <col min="14" max="14" width="6.88671875" style="0" customWidth="1"/>
    <col min="15" max="16" width="10.99609375" style="0" customWidth="1"/>
    <col min="17" max="17" width="11.3359375" style="0" customWidth="1"/>
    <col min="18" max="19" width="8.88671875" style="0" customWidth="1"/>
    <col min="20" max="20" width="8.4453125" style="0" customWidth="1"/>
    <col min="21" max="21" width="11.4453125" style="0" customWidth="1"/>
    <col min="22" max="22" width="9.88671875" style="0" customWidth="1"/>
    <col min="23" max="23" width="10.10546875" style="0" customWidth="1"/>
    <col min="24" max="25" width="7.88671875" style="0" customWidth="1"/>
    <col min="26" max="26" width="8.88671875" style="0" customWidth="1"/>
    <col min="27" max="28" width="8.6640625" style="0" customWidth="1"/>
    <col min="29" max="29" width="11.99609375" style="0" customWidth="1"/>
    <col min="30" max="31" width="7.88671875" style="0" customWidth="1"/>
    <col min="32" max="33" width="8.88671875" style="0" customWidth="1"/>
    <col min="34" max="34" width="7.99609375" style="0" customWidth="1"/>
    <col min="35" max="36" width="8.88671875" style="0" customWidth="1"/>
    <col min="37" max="39" width="11.4453125" style="0" customWidth="1"/>
    <col min="40" max="41" width="9.88671875" style="0" customWidth="1"/>
    <col min="42" max="42" width="8.88671875" style="0" customWidth="1"/>
    <col min="43" max="43" width="9.4453125" style="0" customWidth="1"/>
    <col min="44" max="44" width="7.88671875" style="0" customWidth="1"/>
    <col min="45" max="50" width="11.4453125" style="0" customWidth="1"/>
    <col min="51" max="51" width="12.10546875" style="0" customWidth="1"/>
    <col min="52" max="52" width="11.4453125" style="0" customWidth="1"/>
    <col min="53" max="55" width="15.10546875" style="0" customWidth="1"/>
    <col min="56" max="56" width="11.4453125" style="0" customWidth="1"/>
    <col min="57" max="57" width="8.88671875" style="0" customWidth="1"/>
    <col min="58" max="59" width="11.4453125" style="0" customWidth="1"/>
    <col min="60" max="60" width="10.88671875" style="0" customWidth="1"/>
    <col min="61" max="61" width="11.4453125" style="0" customWidth="1"/>
    <col min="62" max="62" width="6.88671875" style="0" customWidth="1"/>
  </cols>
  <sheetData>
    <row r="1" spans="1:59" ht="16.5" thickBot="1">
      <c r="A1" s="14" t="str">
        <f>Data!A2</f>
        <v>Manufacturer:</v>
      </c>
      <c r="B1" s="47" t="str">
        <f>IF(Data!B2="","",Data!B2)</f>
        <v>SteelTech</v>
      </c>
      <c r="C1" s="1"/>
      <c r="D1" s="1"/>
      <c r="E1" s="1"/>
      <c r="F1" s="1"/>
      <c r="G1" s="1"/>
      <c r="H1" s="1"/>
      <c r="I1" s="1"/>
      <c r="J1" s="6"/>
      <c r="K1" s="6"/>
      <c r="L1" s="6"/>
      <c r="M1" s="6"/>
      <c r="N1" s="6"/>
      <c r="O1" s="16"/>
      <c r="P1" s="16"/>
      <c r="Q1" s="16"/>
      <c r="R1" s="5" t="s">
        <v>1</v>
      </c>
      <c r="S1" s="16"/>
      <c r="T1" s="16"/>
      <c r="U1" s="16"/>
      <c r="V1" s="16"/>
      <c r="W1" s="16"/>
      <c r="X1" s="16"/>
      <c r="Y1" s="16"/>
      <c r="Z1" s="16"/>
      <c r="AA1" s="16"/>
      <c r="AB1" s="16"/>
      <c r="AC1" s="16"/>
      <c r="AD1" s="16"/>
      <c r="AE1" s="16"/>
      <c r="AF1" s="16"/>
      <c r="AG1" s="16"/>
      <c r="AH1" s="5"/>
      <c r="AI1" s="16"/>
      <c r="AJ1" s="16"/>
      <c r="AN1" s="16"/>
      <c r="AO1" s="16"/>
      <c r="AP1" s="16"/>
      <c r="AQ1" s="16"/>
      <c r="AR1" s="16"/>
      <c r="AS1" s="16"/>
      <c r="AT1" s="16"/>
      <c r="AU1" s="16"/>
      <c r="AV1" s="16"/>
      <c r="AW1" s="16"/>
      <c r="AX1" s="16"/>
      <c r="AY1" s="16"/>
      <c r="AZ1" s="16"/>
      <c r="BA1" s="16"/>
      <c r="BB1" s="16"/>
      <c r="BC1" s="16"/>
      <c r="BD1" s="16"/>
      <c r="BE1" s="16"/>
      <c r="BF1" s="16"/>
      <c r="BG1" s="16"/>
    </row>
    <row r="2" spans="1:59" ht="18.75" thickBot="1">
      <c r="A2" s="14" t="str">
        <f>Data!A3</f>
        <v>Model:</v>
      </c>
      <c r="B2" s="47" t="str">
        <f>IF(Data!B3="","",Data!B3)</f>
        <v>G400</v>
      </c>
      <c r="C2" s="1"/>
      <c r="D2" s="3"/>
      <c r="E2" s="3"/>
      <c r="F2" s="3"/>
      <c r="G2" s="3"/>
      <c r="H2" s="3"/>
      <c r="I2" s="1"/>
      <c r="J2" s="6"/>
      <c r="K2" s="6"/>
      <c r="L2" s="6"/>
      <c r="M2" s="6"/>
      <c r="N2" s="206" t="s">
        <v>115</v>
      </c>
      <c r="O2" s="207"/>
      <c r="P2" s="16"/>
      <c r="Q2" s="16"/>
      <c r="R2" s="5" t="s">
        <v>1</v>
      </c>
      <c r="S2" s="16"/>
      <c r="T2" s="16"/>
      <c r="U2" s="16"/>
      <c r="V2" s="16"/>
      <c r="W2" s="16"/>
      <c r="X2" s="16"/>
      <c r="Y2" s="16"/>
      <c r="Z2" s="16"/>
      <c r="AA2" s="16"/>
      <c r="AB2" s="16"/>
      <c r="AC2" s="16"/>
      <c r="AD2" s="16"/>
      <c r="AE2" s="16"/>
      <c r="AF2" s="16"/>
      <c r="AG2" s="16"/>
      <c r="AH2" s="8" t="s">
        <v>107</v>
      </c>
      <c r="AI2" s="6">
        <f>+C15</f>
        <v>19.17</v>
      </c>
      <c r="AJ2" s="16"/>
      <c r="AN2" s="16"/>
      <c r="AO2" s="16"/>
      <c r="AP2" s="16"/>
      <c r="AQ2" s="16"/>
      <c r="AR2" s="16"/>
      <c r="AS2" s="16"/>
      <c r="AT2" s="16"/>
      <c r="AU2" s="16"/>
      <c r="AV2" s="16"/>
      <c r="AW2" s="16"/>
      <c r="AX2" s="16"/>
      <c r="AY2" s="16"/>
      <c r="AZ2" s="16"/>
      <c r="BA2" s="16"/>
      <c r="BB2" s="16"/>
      <c r="BC2" s="16"/>
      <c r="BD2" s="16"/>
      <c r="BE2" s="16"/>
      <c r="BF2" s="16"/>
      <c r="BG2" s="16"/>
    </row>
    <row r="3" spans="1:59" ht="15.75">
      <c r="A3" s="14" t="str">
        <f>Data!A4</f>
        <v>Date:</v>
      </c>
      <c r="B3" s="197">
        <f>IF(Data!B4="","",Data!B4)</f>
        <v>41487</v>
      </c>
      <c r="C3" s="1"/>
      <c r="D3" s="3"/>
      <c r="E3" s="3"/>
      <c r="F3" s="3"/>
      <c r="G3" s="3"/>
      <c r="H3" s="3"/>
      <c r="I3" s="3"/>
      <c r="K3" s="76" t="s">
        <v>9</v>
      </c>
      <c r="L3" s="4">
        <f>W7</f>
        <v>0.8514549866727589</v>
      </c>
      <c r="M3" s="217" t="s">
        <v>116</v>
      </c>
      <c r="N3" s="218"/>
      <c r="O3" s="218"/>
      <c r="P3" s="182">
        <f>0.44*D16+0.32*G16+0.28*(100-D16-G16)</f>
        <v>31.973551974048235</v>
      </c>
      <c r="Q3" s="16"/>
      <c r="R3" s="16"/>
      <c r="S3" s="16"/>
      <c r="T3" s="16"/>
      <c r="U3" s="16"/>
      <c r="V3" s="16"/>
      <c r="W3" s="16"/>
      <c r="X3" s="16"/>
      <c r="Y3" s="16"/>
      <c r="Z3" s="16"/>
      <c r="AA3" s="16"/>
      <c r="AB3" s="16"/>
      <c r="AC3" s="16"/>
      <c r="AD3" s="16"/>
      <c r="AE3" s="16"/>
      <c r="AF3" s="16"/>
      <c r="AG3" s="16"/>
      <c r="AH3" s="5"/>
      <c r="AI3" s="6"/>
      <c r="AJ3" s="16"/>
      <c r="AK3" s="16"/>
      <c r="AL3" s="16"/>
      <c r="AM3" s="16"/>
      <c r="AN3" s="16"/>
      <c r="AO3" s="16"/>
      <c r="AP3" s="16"/>
      <c r="AQ3" s="16"/>
      <c r="AR3" s="16"/>
      <c r="AS3" s="16"/>
      <c r="AT3" s="16"/>
      <c r="AU3" s="16"/>
      <c r="AV3" s="16"/>
      <c r="AW3" s="16"/>
      <c r="AX3" s="16"/>
      <c r="AY3" s="16"/>
      <c r="AZ3" s="16"/>
      <c r="BA3" s="16"/>
      <c r="BB3" s="16"/>
      <c r="BC3" s="16"/>
      <c r="BD3" s="16"/>
      <c r="BE3" s="16"/>
      <c r="BF3" s="16"/>
      <c r="BG3" s="16"/>
    </row>
    <row r="4" spans="1:59" ht="15.75">
      <c r="A4" s="14" t="str">
        <f>Data!A5</f>
        <v>Run:</v>
      </c>
      <c r="B4" s="47">
        <f>IF(Data!B5="","",Data!B5)</f>
        <v>6</v>
      </c>
      <c r="C4" s="1"/>
      <c r="D4" s="3"/>
      <c r="E4" s="3"/>
      <c r="F4" s="3"/>
      <c r="G4" s="3"/>
      <c r="H4" s="3"/>
      <c r="I4" s="1"/>
      <c r="K4" s="76" t="s">
        <v>10</v>
      </c>
      <c r="L4" s="4">
        <f>W4</f>
        <v>0.9846088741710816</v>
      </c>
      <c r="M4" s="219" t="s">
        <v>117</v>
      </c>
      <c r="N4" s="220"/>
      <c r="O4" s="220"/>
      <c r="P4" s="183">
        <f>42.5/(0.01*(D16+C16+Q6))</f>
        <v>156.37960467531673</v>
      </c>
      <c r="Q4" s="180" t="s">
        <v>118</v>
      </c>
      <c r="R4" s="16"/>
      <c r="S4" s="16"/>
      <c r="T4" s="16"/>
      <c r="V4" s="8" t="s">
        <v>11</v>
      </c>
      <c r="W4" s="4">
        <f>IF(((+W5-(SUM(BE20:BE1000)))/W5)&lt;0.995,((+W5-(SUM(BE20:BE1000)))/W5),0.995)</f>
        <v>0.9846088741710816</v>
      </c>
      <c r="X4" s="16"/>
      <c r="Z4" s="16"/>
      <c r="AA4" s="16"/>
      <c r="AB4" s="16"/>
      <c r="AC4" s="8" t="s">
        <v>167</v>
      </c>
      <c r="AD4" s="74">
        <f>+C15</f>
        <v>19.17</v>
      </c>
      <c r="AE4" s="16"/>
      <c r="AF4" s="16"/>
      <c r="AG4" s="16"/>
      <c r="AH4" s="193" t="s">
        <v>172</v>
      </c>
      <c r="AI4" s="7">
        <f>($B$20)*(1-0.01*$AI$2*EXP(-0.0129*$O20))</f>
        <v>94.63417967332124</v>
      </c>
      <c r="AJ4" s="16"/>
      <c r="AK4" s="16"/>
      <c r="AL4" s="16"/>
      <c r="AM4" s="16"/>
      <c r="AN4" s="16"/>
      <c r="AO4" s="16"/>
      <c r="AP4" s="16"/>
      <c r="AQ4" s="16"/>
      <c r="AR4" s="16"/>
      <c r="AS4" s="16"/>
      <c r="AT4" s="16"/>
      <c r="AU4" s="16"/>
      <c r="AV4" s="16"/>
      <c r="AW4" s="16"/>
      <c r="AX4" s="16"/>
      <c r="AY4" s="16"/>
      <c r="AZ4" s="16"/>
      <c r="BA4" s="16"/>
      <c r="BB4" s="16"/>
      <c r="BC4" s="16"/>
      <c r="BD4" s="16"/>
      <c r="BE4" s="16"/>
      <c r="BF4" s="16"/>
      <c r="BG4" s="16"/>
    </row>
    <row r="5" spans="1:59" ht="18.75" thickBot="1">
      <c r="A5" s="14" t="str">
        <f>Data!A6</f>
        <v>Control #:</v>
      </c>
      <c r="B5" s="47" t="str">
        <f>IF(Data!B6="","",Data!B6)</f>
        <v>G101237933</v>
      </c>
      <c r="C5" s="1"/>
      <c r="D5" s="3"/>
      <c r="E5" s="3"/>
      <c r="F5" s="3"/>
      <c r="G5" s="3"/>
      <c r="H5" s="3"/>
      <c r="I5" s="3"/>
      <c r="K5" s="76" t="s">
        <v>12</v>
      </c>
      <c r="L5" s="4">
        <f>L3/L4</f>
        <v>0.864764688810649</v>
      </c>
      <c r="M5" s="221" t="s">
        <v>115</v>
      </c>
      <c r="N5" s="222"/>
      <c r="O5" s="222"/>
      <c r="P5" s="184">
        <f>((P3*P4)-510)/1000</f>
        <v>4.490011417767356</v>
      </c>
      <c r="Q5" s="180">
        <f>IF(Data!F2="Non-Cat",1.32,IF(Data!F2="Cat",0.88,IF(Data!F2="Pellet",0.8,"Select Appliance Type on Data Sheet")))</f>
        <v>1.32</v>
      </c>
      <c r="S5" s="16"/>
      <c r="T5" s="16"/>
      <c r="V5" s="8" t="s">
        <v>163</v>
      </c>
      <c r="W5" s="68">
        <f>AD5*AA13</f>
        <v>1881989.9311633396</v>
      </c>
      <c r="X5" s="68">
        <f>W5/1.05435</f>
        <v>1784976.460533352</v>
      </c>
      <c r="Y5" t="s">
        <v>165</v>
      </c>
      <c r="Z5" s="16"/>
      <c r="AA5" s="16"/>
      <c r="AB5" s="16"/>
      <c r="AC5" s="8" t="s">
        <v>168</v>
      </c>
      <c r="AD5" s="75">
        <f>($B$20)*(1-0.01*$AD$4)</f>
        <v>94.63417967332124</v>
      </c>
      <c r="AE5" s="16"/>
      <c r="AF5" s="16"/>
      <c r="AG5" s="16"/>
      <c r="AH5" s="8" t="s">
        <v>13</v>
      </c>
      <c r="AI5" s="43">
        <f>Data!F11</f>
        <v>50</v>
      </c>
      <c r="AJ5" s="16"/>
      <c r="AK5" s="16"/>
      <c r="AL5" s="16"/>
      <c r="AM5" s="16"/>
      <c r="AN5" s="16"/>
      <c r="AO5" s="16"/>
      <c r="AP5" s="16"/>
      <c r="AQ5" s="16"/>
      <c r="AR5" s="16"/>
      <c r="AS5" s="16"/>
      <c r="AT5" s="17"/>
      <c r="AU5" s="16"/>
      <c r="AV5" s="16"/>
      <c r="AW5" s="16"/>
      <c r="AX5" s="16"/>
      <c r="AY5" s="16"/>
      <c r="AZ5" s="16"/>
      <c r="BA5" s="16"/>
      <c r="BB5" s="16"/>
      <c r="BC5" s="16"/>
      <c r="BD5" s="16"/>
      <c r="BE5" s="16"/>
      <c r="BF5" s="16"/>
      <c r="BG5" s="16"/>
    </row>
    <row r="6" spans="1:59" ht="16.5" thickBot="1">
      <c r="A6" s="14" t="str">
        <f>Data!A7</f>
        <v>  Test Duration:</v>
      </c>
      <c r="B6" s="15">
        <f>Data!B7</f>
        <v>202</v>
      </c>
      <c r="C6" s="41" t="s">
        <v>37</v>
      </c>
      <c r="D6" s="1"/>
      <c r="E6" s="1"/>
      <c r="F6" s="1"/>
      <c r="G6" s="1"/>
      <c r="H6" s="1"/>
      <c r="I6" s="1"/>
      <c r="J6" s="8"/>
      <c r="K6" s="6"/>
      <c r="L6" s="6"/>
      <c r="M6" s="6"/>
      <c r="N6" s="6"/>
      <c r="O6" s="16"/>
      <c r="P6" s="16"/>
      <c r="Q6" s="16"/>
      <c r="R6" s="16"/>
      <c r="S6" s="16"/>
      <c r="T6" s="16"/>
      <c r="V6" s="8" t="s">
        <v>164</v>
      </c>
      <c r="W6" s="68">
        <f>W5*W4-BC16</f>
        <v>1602429.7117569477</v>
      </c>
      <c r="X6" s="68">
        <f>W6/1.05435</f>
        <v>1519827.1084146136</v>
      </c>
      <c r="Y6" t="s">
        <v>165</v>
      </c>
      <c r="AA6" s="16"/>
      <c r="AB6" s="16"/>
      <c r="AC6" s="8" t="s">
        <v>106</v>
      </c>
      <c r="AD6" s="102">
        <f>((1/(1-AD4/100))-1)*100</f>
        <v>23.716441915130517</v>
      </c>
      <c r="AE6" s="7"/>
      <c r="AF6" s="16"/>
      <c r="AG6" s="16"/>
      <c r="AH6" s="8" t="s">
        <v>108</v>
      </c>
      <c r="AI6" s="43">
        <f>Data!F12</f>
        <v>6.6</v>
      </c>
      <c r="AJ6" s="16"/>
      <c r="AK6" s="16"/>
      <c r="AL6" s="16"/>
      <c r="AM6" s="16"/>
      <c r="AN6" s="16"/>
      <c r="AO6" s="16"/>
      <c r="AP6" s="16"/>
      <c r="AQ6" s="16"/>
      <c r="AR6" s="16"/>
      <c r="AS6" s="16"/>
      <c r="AT6" s="16"/>
      <c r="AU6" s="16"/>
      <c r="AV6" s="16"/>
      <c r="AW6" s="16"/>
      <c r="AX6" s="16"/>
      <c r="AY6" s="16"/>
      <c r="AZ6" s="16"/>
      <c r="BA6" s="16"/>
      <c r="BB6" s="16"/>
      <c r="BC6" s="16"/>
      <c r="BD6" s="16"/>
      <c r="BE6" s="16"/>
      <c r="BF6" s="16"/>
      <c r="BG6" s="16"/>
    </row>
    <row r="7" spans="1:59" ht="16.5" thickBot="1">
      <c r="A7" s="2"/>
      <c r="B7" s="1"/>
      <c r="C7" s="19" t="s">
        <v>51</v>
      </c>
      <c r="D7" s="20" t="s">
        <v>52</v>
      </c>
      <c r="H7" s="1"/>
      <c r="I7" s="1"/>
      <c r="J7" s="76" t="s">
        <v>14</v>
      </c>
      <c r="K7" s="68">
        <f>M7*0.948608</f>
        <v>451508.2110921786</v>
      </c>
      <c r="L7" s="5" t="s">
        <v>153</v>
      </c>
      <c r="M7" s="68">
        <f>W6/K10</f>
        <v>475969.22131394484</v>
      </c>
      <c r="N7" s="5" t="s">
        <v>151</v>
      </c>
      <c r="O7" s="16"/>
      <c r="P7" s="16"/>
      <c r="Q7" s="16"/>
      <c r="R7" s="16"/>
      <c r="S7" s="16"/>
      <c r="T7" s="16"/>
      <c r="V7" s="8" t="s">
        <v>15</v>
      </c>
      <c r="W7" s="4">
        <f>(W6/W5)</f>
        <v>0.8514549866727589</v>
      </c>
      <c r="X7" s="16"/>
      <c r="Y7" s="16"/>
      <c r="Z7" s="16"/>
      <c r="AA7" s="16"/>
      <c r="AB7" s="16"/>
      <c r="AC7" s="16"/>
      <c r="AD7" s="16"/>
      <c r="AE7" s="16"/>
      <c r="AF7" s="16"/>
      <c r="AG7" s="16"/>
      <c r="AH7" s="8" t="s">
        <v>109</v>
      </c>
      <c r="AI7" s="43">
        <f>Data!F13</f>
        <v>42.9</v>
      </c>
      <c r="AJ7" s="16"/>
      <c r="AK7" s="16"/>
      <c r="AL7" s="16"/>
      <c r="AM7" s="16"/>
      <c r="AN7" s="16"/>
      <c r="AO7" s="16"/>
      <c r="AP7" s="16"/>
      <c r="AQ7" s="16"/>
      <c r="AR7" s="16"/>
      <c r="AS7" s="16"/>
      <c r="AT7" s="16"/>
      <c r="AU7" s="16"/>
      <c r="AV7" s="16"/>
      <c r="AW7" s="16"/>
      <c r="AX7" s="16"/>
      <c r="AY7" s="16"/>
      <c r="AZ7" s="16"/>
      <c r="BA7" s="16"/>
      <c r="BB7" s="16"/>
      <c r="BC7" s="16"/>
      <c r="BD7" s="16"/>
      <c r="BE7" s="16"/>
      <c r="BF7" s="16"/>
      <c r="BG7" s="16"/>
    </row>
    <row r="8" spans="1:59" ht="15.75">
      <c r="A8" s="1"/>
      <c r="B8" s="21" t="s">
        <v>27</v>
      </c>
      <c r="C8" s="19">
        <f>L3</f>
        <v>0.8514549866727589</v>
      </c>
      <c r="D8" s="20">
        <f>C11*K10/(AB13*AD5)</f>
        <v>0.9170803131442796</v>
      </c>
      <c r="H8" s="1"/>
      <c r="I8" s="1"/>
      <c r="J8" s="76" t="s">
        <v>16</v>
      </c>
      <c r="K8" s="68">
        <f>M8*0.948608</f>
        <v>530278.4271151465</v>
      </c>
      <c r="L8" s="5" t="s">
        <v>153</v>
      </c>
      <c r="M8" s="68">
        <f>W5/K10</f>
        <v>559006.9102465365</v>
      </c>
      <c r="N8" s="5" t="s">
        <v>151</v>
      </c>
      <c r="O8" s="16"/>
      <c r="P8" s="16"/>
      <c r="Q8" s="16"/>
      <c r="R8" s="16"/>
      <c r="S8" s="16"/>
      <c r="T8" s="16"/>
      <c r="V8" s="8" t="s">
        <v>78</v>
      </c>
      <c r="W8" s="7">
        <f>SUM(BF20:BF1800)</f>
        <v>1922.986611128096</v>
      </c>
      <c r="X8" s="16"/>
      <c r="Y8" s="16"/>
      <c r="Z8" s="16"/>
      <c r="AA8" s="16"/>
      <c r="AB8" s="16"/>
      <c r="AC8" s="16"/>
      <c r="AD8" s="16"/>
      <c r="AE8" s="16"/>
      <c r="AF8" s="16"/>
      <c r="AG8" s="16"/>
      <c r="AH8" s="16"/>
      <c r="AI8" s="16"/>
      <c r="AJ8" s="16"/>
      <c r="AK8" s="16"/>
      <c r="AL8" s="16"/>
      <c r="AM8" s="16"/>
      <c r="AN8" s="16"/>
      <c r="AO8" s="16"/>
      <c r="AP8" s="16"/>
      <c r="AQ8" s="16"/>
      <c r="AR8" s="16"/>
      <c r="AS8" s="16"/>
      <c r="AT8" s="18"/>
      <c r="AU8" s="16"/>
      <c r="AV8" s="16"/>
      <c r="AW8" s="16"/>
      <c r="AX8" s="16"/>
      <c r="AY8" s="16"/>
      <c r="AZ8" s="16"/>
      <c r="BA8" s="16"/>
      <c r="BB8" s="16"/>
      <c r="BC8" s="16"/>
      <c r="BD8" s="16"/>
      <c r="BE8" s="16"/>
      <c r="BF8" s="16"/>
      <c r="BG8" s="16"/>
    </row>
    <row r="9" spans="1:59" ht="18">
      <c r="A9" s="1"/>
      <c r="B9" s="22" t="s">
        <v>38</v>
      </c>
      <c r="C9" s="23">
        <f>L4</f>
        <v>0.9846088741710816</v>
      </c>
      <c r="D9" s="24">
        <f>C9</f>
        <v>0.9846088741710816</v>
      </c>
      <c r="H9" s="146" t="s">
        <v>119</v>
      </c>
      <c r="I9" s="1"/>
      <c r="J9" s="8"/>
      <c r="K9" s="6"/>
      <c r="L9" s="6"/>
      <c r="M9" s="6"/>
      <c r="N9" s="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8"/>
      <c r="AU9" s="16"/>
      <c r="AV9" s="16"/>
      <c r="AW9" s="16"/>
      <c r="AX9" s="16"/>
      <c r="AY9" s="16"/>
      <c r="AZ9" s="16"/>
      <c r="BA9" s="26"/>
      <c r="BB9" s="26"/>
      <c r="BC9" s="26"/>
      <c r="BD9" s="16"/>
      <c r="BE9" s="16"/>
      <c r="BF9" s="16"/>
      <c r="BG9" s="16"/>
    </row>
    <row r="10" spans="1:59" ht="18">
      <c r="A10" s="1"/>
      <c r="B10" s="22" t="s">
        <v>39</v>
      </c>
      <c r="C10" s="23">
        <f>L5</f>
        <v>0.864764688810649</v>
      </c>
      <c r="D10" s="25">
        <f>D8/D9</f>
        <v>0.9314158517171068</v>
      </c>
      <c r="G10" s="157" t="s">
        <v>110</v>
      </c>
      <c r="H10" s="147">
        <f>(S20/(S20+3.77*(2*S20+T20/2-U20)/2))*100</f>
        <v>19.802284094458876</v>
      </c>
      <c r="I10" s="1"/>
      <c r="J10" s="76" t="s">
        <v>17</v>
      </c>
      <c r="K10" s="7">
        <f>MAX(A20:A1800)/60</f>
        <v>3.3666666666666667</v>
      </c>
      <c r="L10" s="8" t="s">
        <v>112</v>
      </c>
      <c r="M10" s="6"/>
      <c r="N10" s="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8"/>
      <c r="AU10" s="16"/>
      <c r="AV10" s="16"/>
      <c r="AW10" s="16"/>
      <c r="AX10" s="16"/>
      <c r="AY10" s="16"/>
      <c r="AZ10" s="16"/>
      <c r="BA10" s="16"/>
      <c r="BB10" s="16"/>
      <c r="BC10" s="67"/>
      <c r="BD10" s="16"/>
      <c r="BE10" s="16"/>
      <c r="BF10" s="16"/>
      <c r="BG10" s="26"/>
    </row>
    <row r="11" spans="1:59" ht="18">
      <c r="A11" s="1"/>
      <c r="B11" s="22" t="s">
        <v>40</v>
      </c>
      <c r="C11" s="27">
        <f>M7</f>
        <v>475969.22131394484</v>
      </c>
      <c r="D11" s="24" t="s">
        <v>151</v>
      </c>
      <c r="H11" s="148" t="s">
        <v>98</v>
      </c>
      <c r="I11" s="1"/>
      <c r="J11" s="8"/>
      <c r="K11" s="6"/>
      <c r="L11" s="6"/>
      <c r="M11" s="6"/>
      <c r="N11" s="6"/>
      <c r="O11" s="16"/>
      <c r="P11" s="16"/>
      <c r="Q11" s="16"/>
      <c r="R11" s="16"/>
      <c r="S11" s="16"/>
      <c r="T11" s="16"/>
      <c r="U11" s="16"/>
      <c r="V11" s="16"/>
      <c r="W11" s="16"/>
      <c r="X11" s="16"/>
      <c r="Y11" s="5" t="s">
        <v>166</v>
      </c>
      <c r="Z11" s="16"/>
      <c r="AA11" s="152">
        <f>B20</f>
        <v>117.07803992740472</v>
      </c>
      <c r="AB11" s="7"/>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67"/>
      <c r="BD11" s="16"/>
      <c r="BE11" s="16"/>
      <c r="BF11" s="16"/>
      <c r="BG11" s="16"/>
    </row>
    <row r="12" spans="1:59" ht="15.75">
      <c r="A12" s="1"/>
      <c r="B12" s="22" t="s">
        <v>8</v>
      </c>
      <c r="C12" s="28">
        <f>M12</f>
        <v>28.10916227920433</v>
      </c>
      <c r="D12" s="29" t="s">
        <v>152</v>
      </c>
      <c r="H12" s="149">
        <f>(20.9-(G16-(C16/2)))/(D16+C16)</f>
        <v>1.0559819634559968</v>
      </c>
      <c r="I12" s="1"/>
      <c r="J12" s="76" t="s">
        <v>18</v>
      </c>
      <c r="K12" s="7">
        <f>M12*2.204</f>
        <v>61.95259366336635</v>
      </c>
      <c r="L12" s="8" t="s">
        <v>154</v>
      </c>
      <c r="M12" s="9">
        <f>AD5/K10</f>
        <v>28.10916227920433</v>
      </c>
      <c r="N12" s="5" t="s">
        <v>152</v>
      </c>
      <c r="O12" s="16"/>
      <c r="P12" s="16"/>
      <c r="Q12" s="16"/>
      <c r="R12" s="16"/>
      <c r="S12" s="16"/>
      <c r="T12" s="16"/>
      <c r="U12" s="16"/>
      <c r="V12" s="16"/>
      <c r="W12" s="16"/>
      <c r="X12" s="16"/>
      <c r="Y12" s="5" t="s">
        <v>19</v>
      </c>
      <c r="Z12" s="16"/>
      <c r="AA12" s="77" t="s">
        <v>51</v>
      </c>
      <c r="AB12" s="77" t="s">
        <v>52</v>
      </c>
      <c r="AC12" s="16"/>
      <c r="AD12" s="77" t="s">
        <v>51</v>
      </c>
      <c r="AE12" s="77" t="s">
        <v>52</v>
      </c>
      <c r="AF12" s="16"/>
      <c r="AG12" s="16"/>
      <c r="AH12" s="16"/>
      <c r="AI12" s="16"/>
      <c r="AJ12" s="16"/>
      <c r="AK12" s="16"/>
      <c r="AL12" s="16"/>
      <c r="AM12" s="16"/>
      <c r="AN12" s="16"/>
      <c r="AO12" s="16"/>
      <c r="AP12" s="16"/>
      <c r="AQ12" s="16"/>
      <c r="AR12" s="16"/>
      <c r="AS12" s="16"/>
      <c r="AT12" s="16"/>
      <c r="AU12" s="16"/>
      <c r="AV12" s="16"/>
      <c r="AW12" s="16"/>
      <c r="AX12" s="16"/>
      <c r="AY12" s="16"/>
      <c r="AZ12" s="16"/>
      <c r="BA12" s="30"/>
      <c r="BB12" s="30"/>
      <c r="BC12" s="67"/>
      <c r="BD12" s="16"/>
      <c r="BE12" s="16"/>
      <c r="BF12" s="16"/>
      <c r="BG12" s="16"/>
    </row>
    <row r="13" spans="1:59" ht="15.75">
      <c r="A13" s="1"/>
      <c r="B13" s="22" t="s">
        <v>41</v>
      </c>
      <c r="C13" s="27">
        <f>W8</f>
        <v>1922.986611128096</v>
      </c>
      <c r="D13" s="29" t="s">
        <v>133</v>
      </c>
      <c r="H13" s="1"/>
      <c r="I13" s="1"/>
      <c r="J13" s="8"/>
      <c r="K13" s="6"/>
      <c r="L13" s="6"/>
      <c r="M13" s="6"/>
      <c r="N13" s="6"/>
      <c r="O13" s="16"/>
      <c r="P13" s="16"/>
      <c r="Q13" s="16"/>
      <c r="R13" s="16"/>
      <c r="S13" s="16"/>
      <c r="T13" s="16"/>
      <c r="U13" s="16"/>
      <c r="V13" s="16"/>
      <c r="W13" s="16"/>
      <c r="X13" s="16"/>
      <c r="Y13" s="5" t="s">
        <v>201</v>
      </c>
      <c r="Z13" s="16"/>
      <c r="AA13" s="151">
        <f>Data!F10</f>
        <v>19887</v>
      </c>
      <c r="AB13" s="151">
        <f>AA13-(2.326*10.3*9*AI6)</f>
        <v>18463.90668</v>
      </c>
      <c r="AC13" s="8" t="s">
        <v>169</v>
      </c>
      <c r="AD13" s="150">
        <f>AA13*0.4302111</f>
        <v>8555.6081457</v>
      </c>
      <c r="AE13" s="150">
        <f>AB13*0.4302111</f>
        <v>7943.377603100148</v>
      </c>
      <c r="AF13" s="16"/>
      <c r="AG13" s="16"/>
      <c r="AH13" s="16"/>
      <c r="AI13" s="16"/>
      <c r="AJ13" s="16"/>
      <c r="AK13" s="16"/>
      <c r="AL13" s="16"/>
      <c r="AM13" s="16"/>
      <c r="AN13" s="16"/>
      <c r="AO13" s="16"/>
      <c r="AP13" s="16"/>
      <c r="AQ13" s="16"/>
      <c r="AR13" s="31"/>
      <c r="AS13" s="16"/>
      <c r="AT13" s="16"/>
      <c r="AU13" s="16"/>
      <c r="AV13" s="16"/>
      <c r="AW13" s="16"/>
      <c r="AX13" s="16"/>
      <c r="AY13" s="16"/>
      <c r="AZ13" s="16"/>
      <c r="BA13" s="16"/>
      <c r="BB13" s="16"/>
      <c r="BC13" s="16"/>
      <c r="BD13" s="16"/>
      <c r="BE13" s="16"/>
      <c r="BF13" s="16"/>
      <c r="BG13" s="16"/>
    </row>
    <row r="14" spans="1:59" ht="16.5" thickBot="1">
      <c r="A14" s="1"/>
      <c r="B14" s="22" t="s">
        <v>42</v>
      </c>
      <c r="C14" s="27">
        <f>M8</f>
        <v>559006.9102465365</v>
      </c>
      <c r="D14" s="29" t="s">
        <v>151</v>
      </c>
      <c r="H14" s="44"/>
      <c r="I14" s="1"/>
      <c r="J14" s="76" t="s">
        <v>20</v>
      </c>
      <c r="K14" s="10">
        <f>M14*1.8+32</f>
        <v>240.86987236702808</v>
      </c>
      <c r="L14" s="5" t="s">
        <v>155</v>
      </c>
      <c r="M14" s="10">
        <f>(SUM(AK21:AK1800)/COUNT(AK21:AK1800))-273.15</f>
        <v>116.03881798168226</v>
      </c>
      <c r="N14" s="5" t="s">
        <v>156</v>
      </c>
      <c r="O14" s="16"/>
      <c r="P14" s="16"/>
      <c r="Q14" s="16"/>
      <c r="R14" s="16"/>
      <c r="S14" s="16"/>
      <c r="T14" s="16"/>
      <c r="U14" s="16"/>
      <c r="V14" s="16"/>
      <c r="W14" s="16"/>
      <c r="X14" s="16"/>
      <c r="Y14" s="5"/>
      <c r="Z14" s="16"/>
      <c r="AA14" s="74"/>
      <c r="AB14" s="6"/>
      <c r="AC14" s="16"/>
      <c r="AD14" s="16"/>
      <c r="AE14" s="16"/>
      <c r="AF14" s="16"/>
      <c r="AG14" s="16"/>
      <c r="AH14" s="16"/>
      <c r="AI14" s="16"/>
      <c r="AJ14" s="16"/>
      <c r="AK14" s="16"/>
      <c r="AL14" s="16"/>
      <c r="AM14" s="16"/>
      <c r="AN14" s="16"/>
      <c r="AO14" s="16"/>
      <c r="AP14" s="16"/>
      <c r="AQ14" s="16"/>
      <c r="AR14" s="31"/>
      <c r="AS14" s="16"/>
      <c r="AT14" s="16"/>
      <c r="AU14" s="16"/>
      <c r="AV14" s="16"/>
      <c r="AW14" s="16"/>
      <c r="AX14" s="16"/>
      <c r="AY14" s="16"/>
      <c r="AZ14" s="16"/>
      <c r="BA14" s="32"/>
      <c r="BB14" s="32"/>
      <c r="BC14" s="32"/>
      <c r="BD14" s="16"/>
      <c r="BE14" s="16"/>
      <c r="BF14" s="33"/>
      <c r="BG14" s="16"/>
    </row>
    <row r="15" spans="1:59" ht="16.5" thickBot="1">
      <c r="A15" s="1"/>
      <c r="B15" s="113" t="s">
        <v>43</v>
      </c>
      <c r="C15" s="114">
        <f>Data!C10</f>
        <v>19.17</v>
      </c>
      <c r="D15" s="34"/>
      <c r="E15" s="34"/>
      <c r="F15" s="34"/>
      <c r="G15" s="1"/>
      <c r="H15" s="1"/>
      <c r="I15" s="1"/>
      <c r="J15" s="6"/>
      <c r="K15" s="6"/>
      <c r="L15" s="6"/>
      <c r="M15" s="6"/>
      <c r="N15" s="6"/>
      <c r="O15" s="16"/>
      <c r="P15" s="16"/>
      <c r="Q15" s="16"/>
      <c r="R15" s="16"/>
      <c r="S15" s="16"/>
      <c r="T15" s="16"/>
      <c r="U15" s="16"/>
      <c r="V15" s="16"/>
      <c r="W15" s="16"/>
      <c r="X15" s="16"/>
      <c r="Y15" s="5"/>
      <c r="Z15" s="16"/>
      <c r="AA15" s="16"/>
      <c r="AB15" s="16"/>
      <c r="AC15" s="16"/>
      <c r="AD15" s="16"/>
      <c r="AE15" s="16"/>
      <c r="AF15" s="16"/>
      <c r="AG15" s="16"/>
      <c r="AH15" s="16"/>
      <c r="AI15" s="16"/>
      <c r="AJ15" s="16"/>
      <c r="AK15" s="16"/>
      <c r="AL15" s="16"/>
      <c r="AM15" s="16"/>
      <c r="AN15" s="16"/>
      <c r="AO15" s="16"/>
      <c r="AP15" s="16"/>
      <c r="AQ15" s="16"/>
      <c r="AR15" s="16"/>
      <c r="AS15" s="208" t="s">
        <v>77</v>
      </c>
      <c r="AT15" s="209"/>
      <c r="AU15" s="209"/>
      <c r="AV15" s="209"/>
      <c r="AW15" s="209"/>
      <c r="AX15" s="209"/>
      <c r="AY15" s="210"/>
      <c r="AZ15" s="112" t="s">
        <v>97</v>
      </c>
      <c r="BA15" s="208" t="s">
        <v>77</v>
      </c>
      <c r="BB15" s="209"/>
      <c r="BC15" s="209"/>
      <c r="BD15" s="209"/>
      <c r="BE15" s="209"/>
      <c r="BF15" s="209"/>
      <c r="BG15" s="210"/>
    </row>
    <row r="16" spans="1:59" s="103" customFormat="1" ht="16.5" thickBot="1">
      <c r="A16" s="73"/>
      <c r="B16" s="115" t="s">
        <v>53</v>
      </c>
      <c r="C16" s="116">
        <f aca="true" t="shared" si="0" ref="C16:Q16">AVERAGE(C20:C1800)</f>
        <v>0.4491784537000022</v>
      </c>
      <c r="D16" s="116">
        <f t="shared" si="0"/>
        <v>26.728278663064458</v>
      </c>
      <c r="E16" s="116">
        <f t="shared" si="0"/>
        <v>-0.038631515347788505</v>
      </c>
      <c r="F16" s="116">
        <f t="shared" si="0"/>
        <v>19.37855258886236</v>
      </c>
      <c r="G16" s="116">
        <f t="shared" si="0"/>
        <v>-7.574315301052092</v>
      </c>
      <c r="H16" s="116">
        <f t="shared" si="0"/>
        <v>115.81586490123726</v>
      </c>
      <c r="I16" s="116">
        <f t="shared" si="0"/>
        <v>26.62664635819558</v>
      </c>
      <c r="J16" s="117">
        <f t="shared" si="0"/>
        <v>0.9842612086580149</v>
      </c>
      <c r="K16" s="117">
        <f t="shared" si="0"/>
        <v>0.8635512512691521</v>
      </c>
      <c r="L16" s="117">
        <f t="shared" si="0"/>
        <v>0.8500047669147834</v>
      </c>
      <c r="M16" s="116">
        <f t="shared" si="0"/>
        <v>5.9476664826316314</v>
      </c>
      <c r="N16" s="116">
        <f t="shared" si="0"/>
        <v>53.84563261914405</v>
      </c>
      <c r="O16" s="116">
        <f t="shared" si="0"/>
        <v>54.00876829460801</v>
      </c>
      <c r="P16" s="116">
        <f t="shared" si="0"/>
        <v>46.41055553178534</v>
      </c>
      <c r="Q16" s="116">
        <f t="shared" si="0"/>
        <v>50.957935397130996</v>
      </c>
      <c r="R16" s="118">
        <f>SUM(R20:R1800)</f>
        <v>1881989.931163339</v>
      </c>
      <c r="S16" s="116">
        <f aca="true" t="shared" si="1" ref="S16:AR16">AVERAGE(S20:S1800)</f>
        <v>4.166666666666656</v>
      </c>
      <c r="T16" s="116">
        <f t="shared" si="1"/>
        <v>6.599999999999991</v>
      </c>
      <c r="U16" s="116">
        <f t="shared" si="1"/>
        <v>2.68124999999999</v>
      </c>
      <c r="V16" s="116">
        <f t="shared" si="1"/>
        <v>19887</v>
      </c>
      <c r="W16" s="116">
        <f t="shared" si="1"/>
        <v>19.170000000000048</v>
      </c>
      <c r="X16" s="116">
        <f t="shared" si="1"/>
        <v>80.3968581842876</v>
      </c>
      <c r="Y16" s="116">
        <f t="shared" si="1"/>
        <v>21.325426574081586</v>
      </c>
      <c r="Z16" s="116">
        <f t="shared" si="1"/>
        <v>6.5410099395850425</v>
      </c>
      <c r="AA16" s="116">
        <f t="shared" si="1"/>
        <v>21.431830870950865</v>
      </c>
      <c r="AB16" s="116">
        <f t="shared" si="1"/>
        <v>0.07675096483989148</v>
      </c>
      <c r="AC16" s="116">
        <f t="shared" si="1"/>
        <v>0.6508304889887114</v>
      </c>
      <c r="AD16" s="116">
        <f t="shared" si="1"/>
        <v>41.00796531925306</v>
      </c>
      <c r="AE16" s="116">
        <f t="shared" si="1"/>
        <v>-1.1480585301771373</v>
      </c>
      <c r="AF16" s="116">
        <f t="shared" si="1"/>
        <v>0.757178361028317</v>
      </c>
      <c r="AG16" s="116">
        <f t="shared" si="1"/>
        <v>0.11090322089114159</v>
      </c>
      <c r="AH16" s="116">
        <f t="shared" si="1"/>
        <v>163.00307240128862</v>
      </c>
      <c r="AI16" s="116">
        <f t="shared" si="1"/>
        <v>32.94402270394635</v>
      </c>
      <c r="AJ16" s="116">
        <f t="shared" si="1"/>
        <v>13.175906470369965</v>
      </c>
      <c r="AK16" s="116">
        <f t="shared" si="1"/>
        <v>388.96586490123735</v>
      </c>
      <c r="AL16" s="116">
        <f t="shared" si="1"/>
        <v>3526.6430568595383</v>
      </c>
      <c r="AM16" s="116">
        <f t="shared" si="1"/>
        <v>2665.49123273984</v>
      </c>
      <c r="AN16" s="116">
        <f t="shared" si="1"/>
        <v>2594.8045826919356</v>
      </c>
      <c r="AO16" s="116">
        <f t="shared" si="1"/>
        <v>2565.4542003342053</v>
      </c>
      <c r="AP16" s="116">
        <f t="shared" si="1"/>
        <v>3369.8843419668983</v>
      </c>
      <c r="AQ16" s="116">
        <f t="shared" si="1"/>
        <v>3105.9914005285364</v>
      </c>
      <c r="AR16" s="116">
        <f t="shared" si="1"/>
        <v>299.77664635819536</v>
      </c>
      <c r="AS16" s="116">
        <f aca="true" t="shared" si="2" ref="AS16:AY16">SUM(AS20:AS1800)</f>
        <v>29442.260539911575</v>
      </c>
      <c r="AT16" s="116">
        <f t="shared" si="2"/>
        <v>-3433.920165994303</v>
      </c>
      <c r="AU16" s="116">
        <f t="shared" si="2"/>
        <v>43839.20805202204</v>
      </c>
      <c r="AV16" s="116">
        <f t="shared" si="2"/>
        <v>74839.51676350833</v>
      </c>
      <c r="AW16" s="116">
        <f t="shared" si="2"/>
        <v>20111.062032911213</v>
      </c>
      <c r="AX16" s="116">
        <f t="shared" si="2"/>
        <v>314829.8746431517</v>
      </c>
      <c r="AY16" s="116">
        <f t="shared" si="2"/>
        <v>125911.90380872689</v>
      </c>
      <c r="AZ16" s="116">
        <f>AVERAGE(AZ20:AZ1800)</f>
        <v>2982.9552003657027</v>
      </c>
      <c r="BA16" s="116">
        <f>SUM(BA20:BA1800)</f>
        <v>279710.4987575584</v>
      </c>
      <c r="BB16" s="116">
        <f>SUM(BB20:BB1800)</f>
        <v>29116.223190459114</v>
      </c>
      <c r="BC16" s="119">
        <f>SUM(BC20:BC1800)</f>
        <v>250594.27556709942</v>
      </c>
      <c r="BD16" s="119">
        <f>SUM(BD20:BD1800)</f>
        <v>1602279.4324057815</v>
      </c>
      <c r="BE16" s="119">
        <f>SUM(BE20:BE1800)</f>
        <v>28965.943839292428</v>
      </c>
      <c r="BF16" s="120">
        <f>SUM(BF21:BF1800)</f>
        <v>1922.986611128096</v>
      </c>
      <c r="BG16" s="121">
        <f>SUM(BG21:BG1900)</f>
        <v>174.00726547690917</v>
      </c>
    </row>
    <row r="17" spans="1:59" ht="16.5" thickBot="1">
      <c r="A17" s="227" t="s">
        <v>88</v>
      </c>
      <c r="B17" s="228"/>
      <c r="C17" s="228"/>
      <c r="D17" s="229"/>
      <c r="E17" s="230" t="s">
        <v>94</v>
      </c>
      <c r="F17" s="231"/>
      <c r="G17" s="232"/>
      <c r="H17" s="233" t="s">
        <v>196</v>
      </c>
      <c r="I17" s="229"/>
      <c r="J17" s="96" t="s">
        <v>21</v>
      </c>
      <c r="K17" s="96" t="s">
        <v>22</v>
      </c>
      <c r="L17" s="96" t="s">
        <v>23</v>
      </c>
      <c r="M17" s="96" t="s">
        <v>75</v>
      </c>
      <c r="N17" s="13" t="s">
        <v>99</v>
      </c>
      <c r="O17" s="13" t="s">
        <v>101</v>
      </c>
      <c r="P17" s="13" t="s">
        <v>103</v>
      </c>
      <c r="Q17" s="13" t="s">
        <v>104</v>
      </c>
      <c r="R17" s="13"/>
      <c r="S17" s="223" t="s">
        <v>197</v>
      </c>
      <c r="T17" s="234"/>
      <c r="U17" s="234"/>
      <c r="V17" s="224"/>
      <c r="W17" s="96" t="s">
        <v>24</v>
      </c>
      <c r="X17" s="211" t="s">
        <v>198</v>
      </c>
      <c r="Y17" s="212"/>
      <c r="Z17" s="212"/>
      <c r="AA17" s="212"/>
      <c r="AB17" s="213"/>
      <c r="AC17" s="159" t="s">
        <v>170</v>
      </c>
      <c r="AD17" s="214"/>
      <c r="AE17" s="214"/>
      <c r="AF17" s="214"/>
      <c r="AG17" s="214"/>
      <c r="AH17" s="214"/>
      <c r="AI17" s="214"/>
      <c r="AJ17" s="35"/>
      <c r="AK17" s="96" t="s">
        <v>3</v>
      </c>
      <c r="AL17" s="212" t="s">
        <v>199</v>
      </c>
      <c r="AM17" s="212"/>
      <c r="AN17" s="212"/>
      <c r="AO17" s="212"/>
      <c r="AP17" s="212"/>
      <c r="AQ17" s="212"/>
      <c r="AR17" s="96" t="s">
        <v>2</v>
      </c>
      <c r="AS17" s="225" t="s">
        <v>193</v>
      </c>
      <c r="AT17" s="225"/>
      <c r="AU17" s="225"/>
      <c r="AV17" s="225"/>
      <c r="AW17" s="225"/>
      <c r="AX17" s="225"/>
      <c r="AY17" s="226"/>
      <c r="AZ17" s="96" t="s">
        <v>25</v>
      </c>
      <c r="BA17" s="35"/>
      <c r="BB17" s="35"/>
      <c r="BC17" s="35"/>
      <c r="BD17" s="35"/>
      <c r="BE17" s="35"/>
      <c r="BF17" s="81"/>
      <c r="BG17" s="35"/>
    </row>
    <row r="18" spans="1:59" ht="16.5" thickBot="1">
      <c r="A18" s="79" t="s">
        <v>34</v>
      </c>
      <c r="B18" s="78" t="s">
        <v>0</v>
      </c>
      <c r="C18" s="78" t="s">
        <v>26</v>
      </c>
      <c r="D18" s="78" t="s">
        <v>26</v>
      </c>
      <c r="E18" s="138" t="s">
        <v>74</v>
      </c>
      <c r="F18" s="138" t="s">
        <v>25</v>
      </c>
      <c r="G18" s="138" t="s">
        <v>195</v>
      </c>
      <c r="H18" s="78" t="s">
        <v>35</v>
      </c>
      <c r="I18" s="78" t="s">
        <v>2</v>
      </c>
      <c r="J18" s="96" t="s">
        <v>27</v>
      </c>
      <c r="K18" s="96" t="s">
        <v>28</v>
      </c>
      <c r="L18" s="96" t="s">
        <v>27</v>
      </c>
      <c r="M18" s="96" t="s">
        <v>31</v>
      </c>
      <c r="N18" s="13" t="s">
        <v>100</v>
      </c>
      <c r="O18" s="13" t="s">
        <v>102</v>
      </c>
      <c r="P18" s="13" t="s">
        <v>100</v>
      </c>
      <c r="Q18" s="13" t="s">
        <v>105</v>
      </c>
      <c r="R18" s="95" t="s">
        <v>25</v>
      </c>
      <c r="S18" s="97" t="s">
        <v>157</v>
      </c>
      <c r="T18" s="80" t="s">
        <v>158</v>
      </c>
      <c r="U18" s="98" t="s">
        <v>159</v>
      </c>
      <c r="V18" s="97" t="s">
        <v>160</v>
      </c>
      <c r="W18" s="96" t="s">
        <v>7</v>
      </c>
      <c r="X18" s="211" t="s">
        <v>86</v>
      </c>
      <c r="Y18" s="212"/>
      <c r="Z18" s="212"/>
      <c r="AA18" s="212"/>
      <c r="AB18" s="213"/>
      <c r="AC18" s="96" t="s">
        <v>85</v>
      </c>
      <c r="AD18" s="215" t="s">
        <v>171</v>
      </c>
      <c r="AE18" s="216"/>
      <c r="AF18" s="216"/>
      <c r="AG18" s="216"/>
      <c r="AH18" s="216"/>
      <c r="AI18" s="216"/>
      <c r="AJ18" s="95" t="s">
        <v>7</v>
      </c>
      <c r="AK18" s="96" t="s">
        <v>95</v>
      </c>
      <c r="AL18" s="212" t="s">
        <v>87</v>
      </c>
      <c r="AM18" s="212"/>
      <c r="AN18" s="212"/>
      <c r="AO18" s="212"/>
      <c r="AP18" s="212"/>
      <c r="AQ18" s="212"/>
      <c r="AR18" s="96" t="s">
        <v>95</v>
      </c>
      <c r="AS18" s="212" t="s">
        <v>87</v>
      </c>
      <c r="AT18" s="212"/>
      <c r="AU18" s="212"/>
      <c r="AV18" s="212"/>
      <c r="AW18" s="212"/>
      <c r="AX18" s="212"/>
      <c r="AY18" s="213"/>
      <c r="AZ18" s="159" t="s">
        <v>173</v>
      </c>
      <c r="BA18" s="95" t="s">
        <v>25</v>
      </c>
      <c r="BB18" s="95" t="s">
        <v>89</v>
      </c>
      <c r="BC18" s="158" t="s">
        <v>175</v>
      </c>
      <c r="BD18" s="95" t="s">
        <v>25</v>
      </c>
      <c r="BE18" s="158" t="s">
        <v>90</v>
      </c>
      <c r="BF18" s="223" t="s">
        <v>96</v>
      </c>
      <c r="BG18" s="224"/>
    </row>
    <row r="19" spans="1:59" ht="18.75" thickBot="1">
      <c r="A19" s="79" t="s">
        <v>4</v>
      </c>
      <c r="B19" s="79" t="s">
        <v>130</v>
      </c>
      <c r="C19" s="79" t="s">
        <v>181</v>
      </c>
      <c r="D19" s="79" t="s">
        <v>182</v>
      </c>
      <c r="E19" s="139" t="s">
        <v>111</v>
      </c>
      <c r="F19" s="139" t="s">
        <v>55</v>
      </c>
      <c r="G19" s="139" t="s">
        <v>194</v>
      </c>
      <c r="H19" s="79" t="s">
        <v>131</v>
      </c>
      <c r="I19" s="79" t="s">
        <v>132</v>
      </c>
      <c r="J19" s="96" t="s">
        <v>26</v>
      </c>
      <c r="K19" s="96" t="s">
        <v>26</v>
      </c>
      <c r="L19" s="96" t="s">
        <v>26</v>
      </c>
      <c r="M19" s="99" t="s">
        <v>80</v>
      </c>
      <c r="N19" s="124" t="s">
        <v>81</v>
      </c>
      <c r="O19" s="125" t="s">
        <v>82</v>
      </c>
      <c r="P19" s="125" t="s">
        <v>83</v>
      </c>
      <c r="Q19" s="126" t="s">
        <v>84</v>
      </c>
      <c r="R19" s="96" t="s">
        <v>42</v>
      </c>
      <c r="S19" s="99" t="s">
        <v>192</v>
      </c>
      <c r="T19" s="100" t="s">
        <v>191</v>
      </c>
      <c r="U19" s="101" t="s">
        <v>190</v>
      </c>
      <c r="V19" s="99" t="s">
        <v>161</v>
      </c>
      <c r="W19" s="99" t="s">
        <v>162</v>
      </c>
      <c r="X19" s="194" t="s">
        <v>176</v>
      </c>
      <c r="Y19" s="195" t="s">
        <v>177</v>
      </c>
      <c r="Z19" s="195" t="s">
        <v>178</v>
      </c>
      <c r="AA19" s="195" t="s">
        <v>179</v>
      </c>
      <c r="AB19" s="196" t="s">
        <v>180</v>
      </c>
      <c r="AC19" s="99" t="s">
        <v>32</v>
      </c>
      <c r="AD19" s="124" t="s">
        <v>54</v>
      </c>
      <c r="AE19" s="125" t="s">
        <v>55</v>
      </c>
      <c r="AF19" s="125" t="s">
        <v>5</v>
      </c>
      <c r="AG19" s="125" t="s">
        <v>29</v>
      </c>
      <c r="AH19" s="125" t="s">
        <v>120</v>
      </c>
      <c r="AI19" s="127" t="s">
        <v>121</v>
      </c>
      <c r="AJ19" s="101" t="s">
        <v>33</v>
      </c>
      <c r="AK19" s="99" t="s">
        <v>30</v>
      </c>
      <c r="AL19" s="124" t="s">
        <v>54</v>
      </c>
      <c r="AM19" s="125" t="s">
        <v>55</v>
      </c>
      <c r="AN19" s="125" t="s">
        <v>5</v>
      </c>
      <c r="AO19" s="125" t="s">
        <v>120</v>
      </c>
      <c r="AP19" s="125" t="s">
        <v>122</v>
      </c>
      <c r="AQ19" s="127" t="s">
        <v>121</v>
      </c>
      <c r="AR19" s="100" t="s">
        <v>30</v>
      </c>
      <c r="AS19" s="124" t="s">
        <v>54</v>
      </c>
      <c r="AT19" s="125" t="s">
        <v>55</v>
      </c>
      <c r="AU19" s="125" t="s">
        <v>5</v>
      </c>
      <c r="AV19" s="125" t="s">
        <v>120</v>
      </c>
      <c r="AW19" s="125" t="s">
        <v>122</v>
      </c>
      <c r="AX19" s="125" t="s">
        <v>123</v>
      </c>
      <c r="AY19" s="127" t="s">
        <v>124</v>
      </c>
      <c r="AZ19" s="159" t="s">
        <v>174</v>
      </c>
      <c r="BA19" s="159" t="s">
        <v>173</v>
      </c>
      <c r="BB19" s="96" t="s">
        <v>91</v>
      </c>
      <c r="BC19" s="96" t="s">
        <v>92</v>
      </c>
      <c r="BD19" s="96" t="s">
        <v>40</v>
      </c>
      <c r="BE19" s="159" t="s">
        <v>93</v>
      </c>
      <c r="BF19" s="95" t="s">
        <v>5</v>
      </c>
      <c r="BG19" s="95" t="s">
        <v>29</v>
      </c>
    </row>
    <row r="20" spans="1:62" ht="16.5" thickBot="1">
      <c r="A20" s="104">
        <f>Data!A20</f>
        <v>0</v>
      </c>
      <c r="B20" s="105">
        <f>IF(Data!$F$5="lb",Data!B20/2.204,Data!B20)</f>
        <v>117.07803992740472</v>
      </c>
      <c r="C20" s="105">
        <f>Data!C20</f>
        <v>6.980799198150635</v>
      </c>
      <c r="D20" s="106">
        <f>Data!D20</f>
        <v>17.49610137939453</v>
      </c>
      <c r="E20" s="140">
        <f>($H$10/(C20+D20))-1</f>
        <v>-0.19098073582791486</v>
      </c>
      <c r="F20" s="141">
        <f>($H$10+(E20)*20.94)/(E20+1)</f>
        <v>19.533709747189505</v>
      </c>
      <c r="G20" s="142">
        <f>F20-D20-C20/2</f>
        <v>-1.4527912312803437</v>
      </c>
      <c r="H20" s="107">
        <f>IF(Data!$F$4="F",(Data!F20-32)/1.8,Data!F20)</f>
        <v>70.77934265136719</v>
      </c>
      <c r="I20" s="122">
        <f>IF(Data!F4="F",(Data!G20-32)/1.8,Data!G20)</f>
        <v>28.09526655409071</v>
      </c>
      <c r="J20" s="131">
        <f>(V20-(AF20*282.993+AG20*890.156))/V20</f>
        <v>0.7626373523405441</v>
      </c>
      <c r="K20" s="132">
        <f>((V20-SUM(AS20:AY20))/V20)/J20</f>
        <v>0.8568210594164242</v>
      </c>
      <c r="L20" s="132">
        <f>J20*K20</f>
        <v>0.6534437441829617</v>
      </c>
      <c r="M20" s="154">
        <f>(32*Y20+28*X20)/(Z20*(12*S20+T20+16*U20))</f>
        <v>4.615184771423678</v>
      </c>
      <c r="N20" s="134">
        <f>$B20</f>
        <v>117.07803992740472</v>
      </c>
      <c r="O20" s="134">
        <f>100*(($B$20)-($B20))/($B$20)</f>
        <v>0</v>
      </c>
      <c r="P20" s="134">
        <f>($B20)*(1-0.01*$AI$2)</f>
        <v>94.63417967332124</v>
      </c>
      <c r="Q20" s="134">
        <f>100*($AI$4-$P20)/$AI$4</f>
        <v>0</v>
      </c>
      <c r="R20" s="133">
        <f>(($AI$4)-P20)*V20</f>
        <v>0</v>
      </c>
      <c r="S20" s="134">
        <f>(+$AI$5/12)</f>
        <v>4.166666666666667</v>
      </c>
      <c r="T20" s="134">
        <f>$AI$6</f>
        <v>6.6</v>
      </c>
      <c r="U20" s="134">
        <f>$AI$7/16</f>
        <v>2.68125</v>
      </c>
      <c r="V20" s="134">
        <f>$AA$13</f>
        <v>19887</v>
      </c>
      <c r="W20" s="134">
        <f>$AI$2</f>
        <v>19.17</v>
      </c>
      <c r="X20" s="134">
        <f>100-$C20-$D20-$G20</f>
        <v>76.97589065373518</v>
      </c>
      <c r="Y20" s="134">
        <f>X20/3.77</f>
        <v>20.41800813096424</v>
      </c>
      <c r="Z20" s="134">
        <f>(8*$D20+4*$G20+6*$C20-4*Y20)/(4*S20-T20+2*U20)</f>
        <v>6.1163645978988965</v>
      </c>
      <c r="AA20" s="134">
        <f>(T20*Z20-4*AB20)/2</f>
        <v>18.16809934566588</v>
      </c>
      <c r="AB20" s="134">
        <f>+Z20*S20-$D20-$C20</f>
        <v>1.0079519137002393</v>
      </c>
      <c r="AC20" s="134">
        <f>0.001*$Z20*(12*$S20+$T20+16*$U20)</f>
        <v>0.6085782774909403</v>
      </c>
      <c r="AD20" s="134">
        <f>D20/(0.001*$Z20*(12*$S20+$T20+16*$U20))</f>
        <v>28.74913881502284</v>
      </c>
      <c r="AE20" s="134">
        <f>G20/(0.001*$Z20*(12*$S20+$T20+16*$U20))</f>
        <v>-2.387188772609405</v>
      </c>
      <c r="AF20" s="134">
        <f>C20/(0.001*$Z20*(12*$S20+$T20+16*$U20))</f>
        <v>11.470667712510583</v>
      </c>
      <c r="AG20" s="134">
        <f>AB20/AC20</f>
        <v>1.6562403736391074</v>
      </c>
      <c r="AH20" s="134">
        <f>+X20/AC20</f>
        <v>126.48478182805513</v>
      </c>
      <c r="AI20" s="134">
        <f>AA20/AC20</f>
        <v>29.853348398450425</v>
      </c>
      <c r="AJ20" s="134">
        <f>W20/(100-W20)*55.556</f>
        <v>13.175906470369913</v>
      </c>
      <c r="AK20" s="134">
        <f>H20+273.15</f>
        <v>343.92934265136716</v>
      </c>
      <c r="AL20" s="134">
        <f>($AK20-$AR20)*(0.029*(($AK20+$AR20)/2)+29.54)</f>
        <v>1660.198498586215</v>
      </c>
      <c r="AM20" s="134">
        <f>($AK20-$AR20)*(0.009*(($AK20+$AR20)/2)+26.782)</f>
        <v>1267.0889955563628</v>
      </c>
      <c r="AN20" s="134">
        <f>($AK20-$AR20)*(0.0056*(($AK20+$AR20)/2)+27.162)</f>
        <v>1236.493184877222</v>
      </c>
      <c r="AO20" s="134">
        <f>($AK20-$AR20)*(0.0062*(($AK20+$AR20)/2)+26.626)</f>
        <v>1221.8761247236887</v>
      </c>
      <c r="AP20" s="134">
        <f>($AK20-$AR20)*(0.056*(($AK20+$AR20)/2)+18.471)</f>
        <v>1559.5006688227727</v>
      </c>
      <c r="AQ20" s="134">
        <f>($AK20-$AR20)*(0.0057*(($AK20+$AR20)/2)+32.859)</f>
        <v>1481.0413005091739</v>
      </c>
      <c r="AR20" s="134">
        <f>I20+273.15</f>
        <v>301.2452665540907</v>
      </c>
      <c r="AS20" s="134">
        <f>0.001*AD20*AL20</f>
        <v>47.729277096347595</v>
      </c>
      <c r="AT20" s="134">
        <f>0.001*AE20*AM20</f>
        <v>-3.0247806240890776</v>
      </c>
      <c r="AU20" s="134">
        <f>0.001*AF20*(AO20+282993)</f>
        <v>3260.134402979063</v>
      </c>
      <c r="AV20" s="134">
        <f>0.001*AH20*(AO20)</f>
        <v>154.54873505658526</v>
      </c>
      <c r="AW20" s="134">
        <f>0.001*AG20*(AP20+890156)</f>
        <v>1476.8952140075146</v>
      </c>
      <c r="AX20" s="134">
        <f>0.001*AI20*(AQ20+43969)</f>
        <v>1356.8359176680615</v>
      </c>
      <c r="AY20" s="134">
        <f>0.001*AJ20*(AQ20+43969)</f>
        <v>598.8454932499587</v>
      </c>
      <c r="AZ20" s="134">
        <f>SUM(AS20:AY20)</f>
        <v>6891.964259433442</v>
      </c>
      <c r="BA20" s="134">
        <f>(($AI$4)-P20)*AZ20</f>
        <v>0</v>
      </c>
      <c r="BB20" s="133">
        <f>55.6344*BG20+10.1069*BF20</f>
        <v>0</v>
      </c>
      <c r="BC20" s="134">
        <f>BA20-BB20</f>
        <v>0</v>
      </c>
      <c r="BD20" s="133">
        <f>IF(A20&gt;0,+R20-BA20,0)</f>
        <v>0</v>
      </c>
      <c r="BE20" s="133">
        <f>(($AI$4)-P20)*(0.001*AF20*(282993)+0.001*AG20*(890156))</f>
        <v>0</v>
      </c>
      <c r="BF20" s="134">
        <f>(($AI$4)-P20)*28*AF20</f>
        <v>0</v>
      </c>
      <c r="BG20" s="135">
        <f>(($AI$4)-P20)*16*AG20</f>
        <v>0</v>
      </c>
      <c r="BH20" s="47"/>
      <c r="BI20" s="47"/>
      <c r="BJ20" s="47"/>
    </row>
    <row r="21" spans="1:62" ht="16.5" thickBot="1">
      <c r="A21" s="108">
        <f>IF(Data!A21&gt;0,Data!A21,"")</f>
        <v>1</v>
      </c>
      <c r="B21" s="109">
        <f>IF(A21&gt;0,IF(Data!$F$5="lb",Data!B21/2.204,Data!B21),"")</f>
        <v>116.04791630850512</v>
      </c>
      <c r="C21" s="109">
        <f>IF(A21&gt;0,Data!C21,"")</f>
        <v>7.297422409057617</v>
      </c>
      <c r="D21" s="110">
        <f>IF(A21&gt;0,Data!D21,"")</f>
        <v>19.160171508789062</v>
      </c>
      <c r="E21" s="143">
        <f aca="true" t="shared" si="3" ref="E21:E84">IF(A21&gt;0,($H$10/(C21+D21))-1,"")</f>
        <v>-0.25154629873196965</v>
      </c>
      <c r="F21" s="144">
        <f aca="true" t="shared" si="4" ref="F21:F84">IF(A21&gt;0,($H$10+(E21)*20.94)/(E21+1),"")</f>
        <v>19.41991144460425</v>
      </c>
      <c r="G21" s="145">
        <f aca="true" t="shared" si="5" ref="G21:G84">IF(A21&gt;0,F21-D21-C21/2,"")</f>
        <v>-3.3889712687136218</v>
      </c>
      <c r="H21" s="111">
        <f>IF(A21&gt;0,IF(Data!$F$4="F",(Data!F21-32)/1.8,Data!F21),"")</f>
        <v>64.14074367947049</v>
      </c>
      <c r="I21" s="123">
        <f>IF(A21&gt;0,IF(Data!$F$4="F",(Data!G21-32)/1.8,Data!G21),"")</f>
        <v>27.698372734917534</v>
      </c>
      <c r="J21" s="136">
        <f aca="true" t="shared" si="6" ref="J21:J84">IF(A21&gt;0,(V21-(AF21*282.993+AG21*890.156))/V21,"")</f>
        <v>0.7699702415534878</v>
      </c>
      <c r="K21" s="128">
        <f aca="true" t="shared" si="7" ref="K21:K84">IF(A21&gt;0,((V21-SUM(AS21:AY21))/V21)/J21,"")</f>
        <v>0.8614044876630564</v>
      </c>
      <c r="L21" s="128">
        <f aca="true" t="shared" si="8" ref="L21:L84">IF(A21&gt;0,BD21/R21,"")</f>
        <v>0.6632558214411819</v>
      </c>
      <c r="M21" s="155">
        <f aca="true" t="shared" si="9" ref="M21:M84">IF(A21&gt;0,(32*Y21+28*X21)/(Z21*(12*S21+T21+16*U21)),"")</f>
        <v>4.27230781822163</v>
      </c>
      <c r="N21" s="130">
        <f aca="true" t="shared" si="10" ref="N21:N84">IF(A21&gt;0,$B21,"")</f>
        <v>116.04791630850512</v>
      </c>
      <c r="O21" s="130">
        <f aca="true" t="shared" si="11" ref="O21:O84">IF(A21&gt;0,100*(($B$20)-($B21))/($B$20),"")</f>
        <v>0.8798606634842295</v>
      </c>
      <c r="P21" s="130">
        <f aca="true" t="shared" si="12" ref="P21:P63">IF(A21&gt;0,($B21)*(1-0.01*$AI$2),"")</f>
        <v>93.8015307521647</v>
      </c>
      <c r="Q21" s="130">
        <f aca="true" t="shared" si="13" ref="Q21:Q84">IF(A21&gt;0,100*($AI$4-$P21)/$AI$4,"")</f>
        <v>0.879860663484235</v>
      </c>
      <c r="R21" s="129">
        <f>IF(A21&gt;0,(($AI$4)-((P22+P21)/2))*V21,"")</f>
        <v>16594.835284091823</v>
      </c>
      <c r="S21" s="130">
        <f aca="true" t="shared" si="14" ref="S21:S84">IF(A21&gt;0,(+$AI$5/12),"")</f>
        <v>4.166666666666667</v>
      </c>
      <c r="T21" s="130">
        <f aca="true" t="shared" si="15" ref="T21:T84">IF(A21&gt;0,$AI$6,"")</f>
        <v>6.6</v>
      </c>
      <c r="U21" s="134">
        <f>IF(A21&gt;0,$AI$7/16,"")</f>
        <v>2.68125</v>
      </c>
      <c r="V21" s="130">
        <f aca="true" t="shared" si="16" ref="V21:V84">IF(A21&gt;0,$AA$13,"")</f>
        <v>19887</v>
      </c>
      <c r="W21" s="130">
        <f aca="true" t="shared" si="17" ref="W21:W84">IF(A21&gt;0,$AI$2,"")</f>
        <v>19.17</v>
      </c>
      <c r="X21" s="130">
        <f aca="true" t="shared" si="18" ref="X21:X84">IF(A21&gt;0,100-$C21-$D21-$G21,"")</f>
        <v>76.93137735086694</v>
      </c>
      <c r="Y21" s="130">
        <f aca="true" t="shared" si="19" ref="Y21:Y84">IF(A21&gt;0,X21/3.77,"")</f>
        <v>20.40620088882412</v>
      </c>
      <c r="Z21" s="130">
        <f aca="true" t="shared" si="20" ref="Z21:Z84">IF(A21&gt;0,(8*$D21+4*$G21+6*$C21-4*Y21)/(4*S21-T21+2*U21),"")</f>
        <v>6.603416768750132</v>
      </c>
      <c r="AA21" s="130">
        <f aca="true" t="shared" si="21" ref="AA21:AA84">IF(A21&gt;0,(T21*Z21-4*AB21)/2,"")</f>
        <v>19.677990099651026</v>
      </c>
      <c r="AB21" s="130">
        <f aca="true" t="shared" si="22" ref="AB21:AB84">IF(A21&gt;0,+Z21*S21-$D21-$C21,"")</f>
        <v>1.056642618612205</v>
      </c>
      <c r="AC21" s="130">
        <f aca="true" t="shared" si="23" ref="AC21:AC84">IF(A21&gt;0,0.001*$Z21*(12*$S21+$T21+16*$U21),"")</f>
        <v>0.6570399684906382</v>
      </c>
      <c r="AD21" s="130">
        <f aca="true" t="shared" si="24" ref="AD21:AD84">IF(A21&gt;0,D21/(0.001*$Z21*(12*$S21+$T21+16*$U21)),"")</f>
        <v>29.16134851400911</v>
      </c>
      <c r="AE21" s="130">
        <f aca="true" t="shared" si="25" ref="AE21:AE84">IF(A21&gt;0,G21/(0.001*$Z21*(12*$S21+$T21+16*$U21)),"")</f>
        <v>-5.157937768228646</v>
      </c>
      <c r="AF21" s="130">
        <f aca="true" t="shared" si="26" ref="AF21:AF84">IF(A21&gt;0,C21/(0.001*$Z21*(12*$S21+$T21+16*$U21)),"")</f>
        <v>11.106512174322306</v>
      </c>
      <c r="AG21" s="130">
        <f aca="true" t="shared" si="27" ref="AG21:AG84">IF(A21&gt;0,+AB21/AC21,"")</f>
        <v>1.6081862128411153</v>
      </c>
      <c r="AH21" s="130">
        <f aca="true" t="shared" si="28" ref="AH21:AH84">IF(A21&gt;0,+X21/AC21,"")</f>
        <v>117.08781967647238</v>
      </c>
      <c r="AI21" s="130">
        <f aca="true" t="shared" si="29" ref="AI21:AI84">IF(A21&gt;0,AA21/AC21,"")</f>
        <v>29.949456720046413</v>
      </c>
      <c r="AJ21" s="130">
        <f aca="true" t="shared" si="30" ref="AJ21:AJ84">IF(A21&gt;0,W21/(100-W21)*55.556,"")</f>
        <v>13.175906470369913</v>
      </c>
      <c r="AK21" s="130">
        <f>IF(A21&gt;0,H21+273.15,"")</f>
        <v>337.29074367947044</v>
      </c>
      <c r="AL21" s="130">
        <f aca="true" t="shared" si="31" ref="AL21:AL84">IF(A21&gt;0,($AK21-$AR21)*(0.029*(($AK21+$AR21)/2)+29.54),"")</f>
        <v>1413.7095224238276</v>
      </c>
      <c r="AM21" s="130">
        <f aca="true" t="shared" si="32" ref="AM21:AM84">IF(A21&gt;0,($AK21-$AR21)*(0.009*(($AK21+$AR21)/2)+26.782),"")</f>
        <v>1080.648439412727</v>
      </c>
      <c r="AN21" s="130">
        <f aca="true" t="shared" si="33" ref="AN21:AN84">IF(A21&gt;0,($AK21-$AR21)*(0.0056*(($AK21+$AR21)/2)+27.162),"")</f>
        <v>1054.9625263008331</v>
      </c>
      <c r="AO21" s="130">
        <f aca="true" t="shared" si="34" ref="AO21:AO84">IF(A21&gt;0,($AK21-$AR21)*(0.0062*(($AK21+$AR21)/2)+26.626),"")</f>
        <v>1042.4060061929333</v>
      </c>
      <c r="AP21" s="130">
        <f aca="true" t="shared" si="35" ref="AP21:AP84">IF(A21&gt;0,($AK21-$AR21)*(0.056*(($AK21+$AR21)/2)+18.471),"")</f>
        <v>1324.2755007657033</v>
      </c>
      <c r="AQ21" s="130">
        <f aca="true" t="shared" si="36" ref="AQ21:AQ84">IF(A21&gt;0,($AK21-$AR21)*(0.0057*(($AK21+$AR21)/2)+32.859),"")</f>
        <v>1263.7374786916812</v>
      </c>
      <c r="AR21" s="130">
        <f>IF(A21&gt;0,I21+273.15,"")</f>
        <v>300.8483727349175</v>
      </c>
      <c r="AS21" s="130">
        <f>0.001*AD21*(AL21)</f>
        <v>41.225676080974615</v>
      </c>
      <c r="AT21" s="130">
        <f>0.001*AE21*(AM21)</f>
        <v>-5.57391739982425</v>
      </c>
      <c r="AU21" s="130">
        <f>0.001*AF21*(AN21+282993)</f>
        <v>3154.7821538898065</v>
      </c>
      <c r="AV21" s="130">
        <f>0.001*AH21*(AO21)</f>
        <v>122.05304648278992</v>
      </c>
      <c r="AW21" s="130">
        <f>0.001*AG21*(AP21+890156)</f>
        <v>1433.6662880801305</v>
      </c>
      <c r="AX21" s="130">
        <f>0.001*AI21*(AQ21+43969)</f>
        <v>1354.695913447298</v>
      </c>
      <c r="AY21" s="130">
        <f>0.001*AJ21*(AQ21+43969)</f>
        <v>595.9823184180375</v>
      </c>
      <c r="AZ21" s="130">
        <f>SUM(AS21:AY21)</f>
        <v>6696.831478999214</v>
      </c>
      <c r="BA21" s="130">
        <f>((P20)-((P21+P22)/2))*AZ21</f>
        <v>5588.214176060391</v>
      </c>
      <c r="BB21" s="129">
        <f>55.6344*BG21+10.1069*BF21</f>
        <v>3817.3002904558853</v>
      </c>
      <c r="BC21" s="130">
        <f>BA21-BB21</f>
        <v>1770.9138856045056</v>
      </c>
      <c r="BD21" s="129">
        <f>IF(A21&gt;0,+R21-BA21,0)</f>
        <v>11006.621108031432</v>
      </c>
      <c r="BE21" s="129">
        <f>IF(A21&gt;0,((P20)-((P21+P22)/2))*(0.001*AF21*(282993)+0.001*AG21*(890156)),"")</f>
        <v>3817.3059518593</v>
      </c>
      <c r="BF21" s="130">
        <f>((P20)-((P21+P22)/2))*28*AF21</f>
        <v>259.5012180410267</v>
      </c>
      <c r="BG21" s="137">
        <f>((P20)-((P21+P22)/2))*16*AG21</f>
        <v>21.471381552367472</v>
      </c>
      <c r="BH21" s="47"/>
      <c r="BI21" s="47"/>
      <c r="BJ21" s="47"/>
    </row>
    <row r="22" spans="1:62" ht="16.5" thickBot="1">
      <c r="A22" s="108">
        <f>IF(Data!A22&gt;0,Data!A22,"")</f>
        <v>2</v>
      </c>
      <c r="B22" s="109">
        <f>IF(A22&gt;0,IF(Data!$F$5="lb",Data!B22/2.204,Data!B22),"")</f>
        <v>116.0434439048144</v>
      </c>
      <c r="C22" s="109">
        <f>IF(A22&gt;0,Data!C22,"")</f>
        <v>1.9144656658172607</v>
      </c>
      <c r="D22" s="110">
        <f>IF(A22&gt;0,Data!D22,"")</f>
        <v>6.643443584442139</v>
      </c>
      <c r="E22" s="143">
        <f t="shared" si="3"/>
        <v>1.3139161114449358</v>
      </c>
      <c r="F22" s="144">
        <f t="shared" si="4"/>
        <v>20.448315837417862</v>
      </c>
      <c r="G22" s="145">
        <f t="shared" si="5"/>
        <v>12.847639420067093</v>
      </c>
      <c r="H22" s="111">
        <f>IF(A22&gt;0,IF(Data!$F$4="F",(Data!F22-32)/1.8,Data!F22),"")</f>
        <v>59.84982808430989</v>
      </c>
      <c r="I22" s="123">
        <f>IF(A22&gt;0,IF(Data!$F$4="F",(Data!G22-32)/1.8,Data!G22),"")</f>
        <v>27.728381686740452</v>
      </c>
      <c r="J22" s="136">
        <f t="shared" si="6"/>
        <v>0.8162446184137192</v>
      </c>
      <c r="K22" s="128">
        <f t="shared" si="7"/>
        <v>0.8503013532166735</v>
      </c>
      <c r="L22" s="128">
        <f t="shared" si="8"/>
        <v>0.6940539035930129</v>
      </c>
      <c r="M22" s="155">
        <f t="shared" si="9"/>
        <v>13.626081939888957</v>
      </c>
      <c r="N22" s="130">
        <f t="shared" si="10"/>
        <v>116.0434439048144</v>
      </c>
      <c r="O22" s="130">
        <f t="shared" si="11"/>
        <v>0.8836806827581258</v>
      </c>
      <c r="P22" s="130">
        <f t="shared" si="12"/>
        <v>93.79791570826148</v>
      </c>
      <c r="Q22" s="130">
        <f t="shared" si="13"/>
        <v>0.8836806827581264</v>
      </c>
      <c r="R22" s="129">
        <f aca="true" t="shared" si="37" ref="R22:R85">IF(A22&gt;0,IF(B23&gt;0,(((P21+P22)/2)-((P23+P22)/2))*V22,((P21+P22)/2)*V22),"")</f>
        <v>-16.63763239410818</v>
      </c>
      <c r="S22" s="130">
        <f t="shared" si="14"/>
        <v>4.166666666666667</v>
      </c>
      <c r="T22" s="130">
        <f t="shared" si="15"/>
        <v>6.6</v>
      </c>
      <c r="U22" s="134">
        <f aca="true" t="shared" si="38" ref="U22:U85">IF(A22&gt;0,$AI$7/16,"")</f>
        <v>2.68125</v>
      </c>
      <c r="V22" s="130">
        <f t="shared" si="16"/>
        <v>19887</v>
      </c>
      <c r="W22" s="130">
        <f t="shared" si="17"/>
        <v>19.17</v>
      </c>
      <c r="X22" s="130">
        <f t="shared" si="18"/>
        <v>78.5944513296735</v>
      </c>
      <c r="Y22" s="130">
        <f t="shared" si="19"/>
        <v>20.847334570205174</v>
      </c>
      <c r="Z22" s="130">
        <f t="shared" si="20"/>
        <v>2.1151863075271953</v>
      </c>
      <c r="AA22" s="130">
        <f t="shared" si="21"/>
        <v>6.4693807526319125</v>
      </c>
      <c r="AB22" s="130">
        <f t="shared" si="22"/>
        <v>0.25536703110391556</v>
      </c>
      <c r="AC22" s="130">
        <f t="shared" si="23"/>
        <v>0.21046103759895593</v>
      </c>
      <c r="AD22" s="130">
        <f t="shared" si="24"/>
        <v>31.56614478496278</v>
      </c>
      <c r="AE22" s="130">
        <f t="shared" si="25"/>
        <v>61.04521562109237</v>
      </c>
      <c r="AF22" s="130">
        <f t="shared" si="26"/>
        <v>9.096532487240566</v>
      </c>
      <c r="AG22" s="130">
        <f t="shared" si="27"/>
        <v>1.2133696289691884</v>
      </c>
      <c r="AH22" s="130">
        <f t="shared" si="28"/>
        <v>373.43943670675606</v>
      </c>
      <c r="AI22" s="130">
        <f t="shared" si="29"/>
        <v>30.739089887790264</v>
      </c>
      <c r="AJ22" s="130">
        <f t="shared" si="30"/>
        <v>13.175906470369913</v>
      </c>
      <c r="AK22" s="130">
        <f aca="true" t="shared" si="39" ref="AK22:AK85">IF(A22&gt;0,H22+273.15,"")</f>
        <v>332.99982808430985</v>
      </c>
      <c r="AL22" s="130">
        <f t="shared" si="31"/>
        <v>1244.1032581815466</v>
      </c>
      <c r="AM22" s="130">
        <f t="shared" si="32"/>
        <v>951.9014596395699</v>
      </c>
      <c r="AN22" s="130">
        <f t="shared" si="33"/>
        <v>929.4937648764745</v>
      </c>
      <c r="AO22" s="130">
        <f t="shared" si="34"/>
        <v>918.3849950887019</v>
      </c>
      <c r="AP22" s="130">
        <f t="shared" si="35"/>
        <v>1163.4256146664495</v>
      </c>
      <c r="AQ22" s="130">
        <f t="shared" si="36"/>
        <v>1113.507699250315</v>
      </c>
      <c r="AR22" s="130">
        <f aca="true" t="shared" si="40" ref="AR22:AR85">IF(A22&gt;0,I22+273.15,"")</f>
        <v>300.87838168674045</v>
      </c>
      <c r="AS22" s="130">
        <f aca="true" t="shared" si="41" ref="AS22:AS85">IF(A22&gt;0,0.001*AD22*(AL22),"")</f>
        <v>39.27154357520263</v>
      </c>
      <c r="AT22" s="130">
        <f aca="true" t="shared" si="42" ref="AT22:AT85">IF(A22&gt;0,0.001*AE22*(AM22),"")</f>
        <v>58.1090298537301</v>
      </c>
      <c r="AU22" s="130">
        <f aca="true" t="shared" si="43" ref="AU22:AU85">IF(A22&gt;0,0.001*AF22*(AN22+282993),"")</f>
        <v>2582.7101883905557</v>
      </c>
      <c r="AV22" s="130">
        <f aca="true" t="shared" si="44" ref="AV22:AV85">IF(A22&gt;0,0.001*AH22*(AO22),"")</f>
        <v>342.96117524586174</v>
      </c>
      <c r="AW22" s="130">
        <f aca="true" t="shared" si="45" ref="AW22:AW85">IF(A22&gt;0,0.001*AG22*(AP22+890156),"")</f>
        <v>1081.499920751098</v>
      </c>
      <c r="AX22" s="130">
        <f aca="true" t="shared" si="46" ref="AX22:AX85">IF(A22&gt;0,0.001*AI22*(AQ22+43969),"")</f>
        <v>1385.7952565342523</v>
      </c>
      <c r="AY22" s="130">
        <f aca="true" t="shared" si="47" ref="AY22:AY85">IF(A22&gt;0,0.001*AJ22*(AQ22+43969),"")</f>
        <v>594.0029048950537</v>
      </c>
      <c r="AZ22" s="130">
        <f aca="true" t="shared" si="48" ref="AZ22:AZ85">IF(A22&gt;0,SUM(AS22:AY22),"")</f>
        <v>6084.350019245754</v>
      </c>
      <c r="BA22" s="130">
        <f aca="true" t="shared" si="49" ref="BA22:BA85">IF(A22&gt;0,IF(B23&gt;0,(((P21+P22)/2)-((P22+P23)/2))*AZ22,((P21+P22)/2)*AZ22),"")</f>
        <v>-5.090218684431834</v>
      </c>
      <c r="BB22" s="129">
        <f aca="true" t="shared" si="50" ref="BB22:BB85">IF(A22&gt;0,55.6344*BG22+10.1069*BF22,"")</f>
        <v>-3.057250326673173</v>
      </c>
      <c r="BC22" s="130">
        <f aca="true" t="shared" si="51" ref="BC22:BC85">IF(A22&gt;0,BA22-BB22,"")</f>
        <v>-2.032968357758661</v>
      </c>
      <c r="BD22" s="129">
        <f aca="true" t="shared" si="52" ref="BD22:BD85">IF(A22&gt;0,+R22-BA22,"")</f>
        <v>-11.547413709676347</v>
      </c>
      <c r="BE22" s="129">
        <f aca="true" t="shared" si="53" ref="BE22:BE68">IF(A22&gt;0,IF(B23&gt;0,(((P21+P22)/2)-((P22+P23)/2))*(0.001*AF22*(282993)+0.001*AG22*(890156)),((P21+P22)/2)*(0.001*AF22*(282993)+0.001*AG22*(890156))),"")</f>
        <v>-3.057254489271616</v>
      </c>
      <c r="BF22" s="130">
        <f aca="true" t="shared" si="54" ref="BF22:BF85">IF(A22&gt;0,IF(B23&gt;0,(((P21+P22)/2)-((P22+P23)/2))*28*AF22,((P21+P22)/2)*28*AF22),"")</f>
        <v>-0.21308660835448237</v>
      </c>
      <c r="BG22" s="137">
        <f aca="true" t="shared" si="55" ref="BG22:BG85">IF(A22&gt;0,IF(B23&gt;0,(((P21+P22)/2)-((P22+P23)/2))*16*AG22,((P21+P22)/2)*16*AG22),"")</f>
        <v>-0.016241844698518464</v>
      </c>
      <c r="BH22" s="47"/>
      <c r="BI22" s="47"/>
      <c r="BJ22" s="47"/>
    </row>
    <row r="23" spans="1:62" ht="16.5" thickBot="1">
      <c r="A23" s="108">
        <f>IF(Data!A23&gt;0,Data!A23,"")</f>
        <v>3</v>
      </c>
      <c r="B23" s="109">
        <f>IF(A23&gt;0,IF(Data!$F$5="lb",Data!B23/2.204,Data!B23),"")</f>
        <v>116.04998635293784</v>
      </c>
      <c r="C23" s="109">
        <f>IF(A23&gt;0,Data!C23,"")</f>
        <v>0.28405848145484924</v>
      </c>
      <c r="D23" s="110">
        <f>IF(A23&gt;0,Data!D23,"")</f>
        <v>1.937319278717041</v>
      </c>
      <c r="E23" s="143">
        <f t="shared" si="3"/>
        <v>7.914415390980855</v>
      </c>
      <c r="F23" s="144">
        <f t="shared" si="4"/>
        <v>20.812373469751904</v>
      </c>
      <c r="G23" s="145">
        <f t="shared" si="5"/>
        <v>18.73302495030744</v>
      </c>
      <c r="H23" s="111">
        <f>IF(A23&gt;0,IF(Data!$F$4="F",(Data!F23-32)/1.8,Data!F23),"")</f>
        <v>56.49871826171875</v>
      </c>
      <c r="I23" s="123">
        <f>IF(A23&gt;0,IF(Data!$F$4="F",(Data!G23-32)/1.8,Data!G23),"")</f>
        <v>27.69504123263889</v>
      </c>
      <c r="J23" s="136">
        <f t="shared" si="6"/>
        <v>0.9148302385021002</v>
      </c>
      <c r="K23" s="128">
        <f t="shared" si="7"/>
        <v>0.8004432521934263</v>
      </c>
      <c r="L23" s="128">
        <f t="shared" si="8"/>
        <v>0.7322696913115089</v>
      </c>
      <c r="M23" s="155">
        <f t="shared" si="9"/>
        <v>54.10035341945898</v>
      </c>
      <c r="N23" s="130">
        <f t="shared" si="10"/>
        <v>116.04998635293784</v>
      </c>
      <c r="O23" s="130">
        <f t="shared" si="11"/>
        <v>0.8780925740679763</v>
      </c>
      <c r="P23" s="130">
        <f t="shared" si="12"/>
        <v>93.80320396907966</v>
      </c>
      <c r="Q23" s="130">
        <f t="shared" si="13"/>
        <v>0.8780925740679774</v>
      </c>
      <c r="R23" s="129">
        <f t="shared" si="37"/>
        <v>-110.73206844065876</v>
      </c>
      <c r="S23" s="130">
        <f t="shared" si="14"/>
        <v>4.166666666666667</v>
      </c>
      <c r="T23" s="130">
        <f t="shared" si="15"/>
        <v>6.6</v>
      </c>
      <c r="U23" s="134">
        <f t="shared" si="38"/>
        <v>2.68125</v>
      </c>
      <c r="V23" s="130">
        <f t="shared" si="16"/>
        <v>19887</v>
      </c>
      <c r="W23" s="130">
        <f t="shared" si="17"/>
        <v>19.17</v>
      </c>
      <c r="X23" s="130">
        <f t="shared" si="18"/>
        <v>79.04559728952067</v>
      </c>
      <c r="Y23" s="130">
        <f t="shared" si="19"/>
        <v>20.96700193355986</v>
      </c>
      <c r="Z23" s="130">
        <f t="shared" si="20"/>
        <v>0.5358032202293752</v>
      </c>
      <c r="AA23" s="130">
        <f t="shared" si="21"/>
        <v>1.7458793118559244</v>
      </c>
      <c r="AB23" s="130">
        <f t="shared" si="22"/>
        <v>0.01113565745050682</v>
      </c>
      <c r="AC23" s="130">
        <f t="shared" si="23"/>
        <v>0.05331242041282284</v>
      </c>
      <c r="AD23" s="130">
        <f t="shared" si="24"/>
        <v>36.338985619401214</v>
      </c>
      <c r="AE23" s="130">
        <f t="shared" si="25"/>
        <v>351.38200076546747</v>
      </c>
      <c r="AF23" s="130">
        <f t="shared" si="26"/>
        <v>5.328185800893159</v>
      </c>
      <c r="AG23" s="130">
        <f t="shared" si="27"/>
        <v>0.20887548087815655</v>
      </c>
      <c r="AH23" s="130">
        <f t="shared" si="28"/>
        <v>1482.6863360814214</v>
      </c>
      <c r="AI23" s="130">
        <f t="shared" si="29"/>
        <v>32.748078183972325</v>
      </c>
      <c r="AJ23" s="130">
        <f t="shared" si="30"/>
        <v>13.175906470369913</v>
      </c>
      <c r="AK23" s="130">
        <f t="shared" si="39"/>
        <v>329.6487182617187</v>
      </c>
      <c r="AL23" s="130">
        <f t="shared" si="31"/>
        <v>1114.1884293902426</v>
      </c>
      <c r="AM23" s="130">
        <f t="shared" si="32"/>
        <v>853.1425019707823</v>
      </c>
      <c r="AN23" s="130">
        <f t="shared" si="33"/>
        <v>833.2149835923788</v>
      </c>
      <c r="AO23" s="130">
        <f t="shared" si="34"/>
        <v>823.2243742899898</v>
      </c>
      <c r="AP23" s="130">
        <f t="shared" si="35"/>
        <v>1040.5277996892564</v>
      </c>
      <c r="AQ23" s="130">
        <f t="shared" si="36"/>
        <v>998.217558557913</v>
      </c>
      <c r="AR23" s="130">
        <f t="shared" si="40"/>
        <v>300.8450412326389</v>
      </c>
      <c r="AS23" s="130">
        <f t="shared" si="41"/>
        <v>40.48847731291525</v>
      </c>
      <c r="AT23" s="130">
        <f t="shared" si="42"/>
        <v>299.77891928055027</v>
      </c>
      <c r="AU23" s="130">
        <f t="shared" si="43"/>
        <v>1512.2788085968261</v>
      </c>
      <c r="AV23" s="130">
        <f t="shared" si="44"/>
        <v>1220.5835312889456</v>
      </c>
      <c r="AW23" s="130">
        <f t="shared" si="45"/>
        <v>186.14910330110348</v>
      </c>
      <c r="AX23" s="130">
        <f t="shared" si="46"/>
        <v>1472.5899563233475</v>
      </c>
      <c r="AY23" s="130">
        <f t="shared" si="47"/>
        <v>592.4838527843348</v>
      </c>
      <c r="AZ23" s="130">
        <f t="shared" si="48"/>
        <v>5324.352648888023</v>
      </c>
      <c r="BA23" s="130">
        <f t="shared" si="49"/>
        <v>-29.6463308653327</v>
      </c>
      <c r="BB23" s="129">
        <f t="shared" si="50"/>
        <v>-9.43102327981659</v>
      </c>
      <c r="BC23" s="130">
        <f t="shared" si="51"/>
        <v>-20.21530758551611</v>
      </c>
      <c r="BD23" s="129">
        <f t="shared" si="52"/>
        <v>-81.08573757532606</v>
      </c>
      <c r="BE23" s="129">
        <f t="shared" si="53"/>
        <v>-9.43102385926003</v>
      </c>
      <c r="BF23" s="130">
        <f t="shared" si="54"/>
        <v>-0.830694874718828</v>
      </c>
      <c r="BG23" s="137">
        <f t="shared" si="55"/>
        <v>-0.01860850931295865</v>
      </c>
      <c r="BH23" s="47"/>
      <c r="BI23" s="47"/>
      <c r="BJ23" s="47"/>
    </row>
    <row r="24" spans="1:62" ht="16.5" thickBot="1">
      <c r="A24" s="108">
        <f>IF(Data!A24&gt;0,Data!A24,"")</f>
        <v>4</v>
      </c>
      <c r="B24" s="109">
        <f>IF(A24&gt;0,IF(Data!$F$5="lb",Data!B24/2.204,Data!B24),"")</f>
        <v>116.05722112361401</v>
      </c>
      <c r="C24" s="109">
        <f>IF(A24&gt;0,Data!C24,"")</f>
        <v>0.09209742397069931</v>
      </c>
      <c r="D24" s="110">
        <f>IF(A24&gt;0,Data!D24,"")</f>
        <v>1.091568946838379</v>
      </c>
      <c r="E24" s="143">
        <f t="shared" si="3"/>
        <v>15.729616201669486</v>
      </c>
      <c r="F24" s="144">
        <f t="shared" si="4"/>
        <v>20.8719939027993</v>
      </c>
      <c r="G24" s="145">
        <f t="shared" si="5"/>
        <v>19.73437624397557</v>
      </c>
      <c r="H24" s="111">
        <f>IF(A24&gt;0,IF(Data!$F$4="F",(Data!F24-32)/1.8,Data!F24),"")</f>
        <v>68.46795823838976</v>
      </c>
      <c r="I24" s="123">
        <f>IF(A24&gt;0,IF(Data!$F$4="F",(Data!G24-32)/1.8,Data!G24),"")</f>
        <v>27.25822024875217</v>
      </c>
      <c r="J24" s="136">
        <f t="shared" si="6"/>
        <v>0.9820384729819567</v>
      </c>
      <c r="K24" s="128">
        <f t="shared" si="7"/>
        <v>0.6699287423574467</v>
      </c>
      <c r="L24" s="128">
        <f t="shared" si="8"/>
        <v>0.6578957991514296</v>
      </c>
      <c r="M24" s="155">
        <f t="shared" si="9"/>
        <v>103.67180152854935</v>
      </c>
      <c r="N24" s="130">
        <f t="shared" si="10"/>
        <v>116.05722112361401</v>
      </c>
      <c r="O24" s="130">
        <f t="shared" si="11"/>
        <v>0.8719131311249072</v>
      </c>
      <c r="P24" s="130">
        <f t="shared" si="12"/>
        <v>93.80905183421721</v>
      </c>
      <c r="Q24" s="130">
        <f t="shared" si="13"/>
        <v>0.8719131311249089</v>
      </c>
      <c r="R24" s="129">
        <f t="shared" si="37"/>
        <v>3475.707131167133</v>
      </c>
      <c r="S24" s="130">
        <f t="shared" si="14"/>
        <v>4.166666666666667</v>
      </c>
      <c r="T24" s="130">
        <f t="shared" si="15"/>
        <v>6.6</v>
      </c>
      <c r="U24" s="134">
        <f t="shared" si="38"/>
        <v>2.68125</v>
      </c>
      <c r="V24" s="130">
        <f t="shared" si="16"/>
        <v>19887</v>
      </c>
      <c r="W24" s="130">
        <f t="shared" si="17"/>
        <v>19.17</v>
      </c>
      <c r="X24" s="130">
        <f t="shared" si="18"/>
        <v>79.08195738521535</v>
      </c>
      <c r="Y24" s="130">
        <f t="shared" si="19"/>
        <v>20.97664652127728</v>
      </c>
      <c r="Z24" s="130">
        <f t="shared" si="20"/>
        <v>0.2797335139718749</v>
      </c>
      <c r="AA24" s="130">
        <f t="shared" si="21"/>
        <v>0.9593407212930525</v>
      </c>
      <c r="AB24" s="130">
        <f t="shared" si="22"/>
        <v>-0.018110062592932685</v>
      </c>
      <c r="AC24" s="130">
        <f t="shared" si="23"/>
        <v>0.027833484640201557</v>
      </c>
      <c r="AD24" s="130">
        <f t="shared" si="24"/>
        <v>39.21783279919472</v>
      </c>
      <c r="AE24" s="130">
        <f t="shared" si="25"/>
        <v>709.015651438485</v>
      </c>
      <c r="AF24" s="130">
        <f t="shared" si="26"/>
        <v>3.3088714963730244</v>
      </c>
      <c r="AG24" s="130">
        <f t="shared" si="27"/>
        <v>-0.6506573943952115</v>
      </c>
      <c r="AH24" s="130">
        <f t="shared" si="28"/>
        <v>2841.2524844622785</v>
      </c>
      <c r="AI24" s="130">
        <f t="shared" si="29"/>
        <v>34.46714393451906</v>
      </c>
      <c r="AJ24" s="130">
        <f t="shared" si="30"/>
        <v>13.175906470369913</v>
      </c>
      <c r="AK24" s="130">
        <f t="shared" si="39"/>
        <v>341.61795823838975</v>
      </c>
      <c r="AL24" s="130">
        <f t="shared" si="31"/>
        <v>1600.9727538840732</v>
      </c>
      <c r="AM24" s="130">
        <f t="shared" si="32"/>
        <v>1222.7389905292189</v>
      </c>
      <c r="AN24" s="130">
        <f t="shared" si="33"/>
        <v>1193.4205489487772</v>
      </c>
      <c r="AO24" s="130">
        <f t="shared" si="34"/>
        <v>1179.2694485657146</v>
      </c>
      <c r="AP24" s="130">
        <f t="shared" si="35"/>
        <v>1502.001527149011</v>
      </c>
      <c r="AQ24" s="130">
        <f t="shared" si="36"/>
        <v>1429.5153128056397</v>
      </c>
      <c r="AR24" s="130">
        <f t="shared" si="40"/>
        <v>300.4082202487522</v>
      </c>
      <c r="AS24" s="130">
        <f t="shared" si="41"/>
        <v>62.7866817778919</v>
      </c>
      <c r="AT24" s="130">
        <f t="shared" si="42"/>
        <v>866.9410819093097</v>
      </c>
      <c r="AU24" s="130">
        <f t="shared" si="43"/>
        <v>940.3363466106937</v>
      </c>
      <c r="AV24" s="130">
        <f t="shared" si="44"/>
        <v>3350.6022505877977</v>
      </c>
      <c r="AW24" s="130">
        <f t="shared" si="45"/>
        <v>-580.1638719652963</v>
      </c>
      <c r="AX24" s="130">
        <f t="shared" si="46"/>
        <v>1564.7571616999396</v>
      </c>
      <c r="AY24" s="130">
        <f t="shared" si="47"/>
        <v>598.1665916551834</v>
      </c>
      <c r="AZ24" s="130">
        <f t="shared" si="48"/>
        <v>6803.426242275519</v>
      </c>
      <c r="BA24" s="130">
        <f t="shared" si="49"/>
        <v>1189.0540104916092</v>
      </c>
      <c r="BB24" s="129">
        <f t="shared" si="50"/>
        <v>62.42976001991268</v>
      </c>
      <c r="BC24" s="130">
        <f t="shared" si="51"/>
        <v>1126.6242504716965</v>
      </c>
      <c r="BD24" s="129">
        <f t="shared" si="52"/>
        <v>2286.6531206755235</v>
      </c>
      <c r="BE24" s="129">
        <f t="shared" si="53"/>
        <v>62.42900754326429</v>
      </c>
      <c r="BF24" s="130">
        <f t="shared" si="54"/>
        <v>16.192422747003707</v>
      </c>
      <c r="BG24" s="137">
        <f t="shared" si="55"/>
        <v>-1.8194756740753757</v>
      </c>
      <c r="BH24" s="47"/>
      <c r="BI24" s="47"/>
      <c r="BJ24" s="47"/>
    </row>
    <row r="25" spans="1:62" ht="16.5" thickBot="1">
      <c r="A25" s="108">
        <f>IF(Data!A25&gt;0,Data!A25,"")</f>
        <v>5</v>
      </c>
      <c r="B25" s="109">
        <f>IF(A25&gt;0,IF(Data!$F$5="lb",Data!B25/2.204,Data!B25),"")</f>
        <v>115.61754091681672</v>
      </c>
      <c r="C25" s="109">
        <f>IF(A25&gt;0,Data!C25,"")</f>
        <v>0.0655435174703598</v>
      </c>
      <c r="D25" s="110">
        <f>IF(A25&gt;0,Data!D25,"")</f>
        <v>0.8464818596839905</v>
      </c>
      <c r="E25" s="143">
        <f t="shared" si="3"/>
        <v>20.7124266390973</v>
      </c>
      <c r="F25" s="144">
        <f t="shared" si="4"/>
        <v>20.887600702378773</v>
      </c>
      <c r="G25" s="145">
        <f t="shared" si="5"/>
        <v>20.008347083959602</v>
      </c>
      <c r="H25" s="111">
        <f>IF(A25&gt;0,IF(Data!$F$4="F",(Data!F25-32)/1.8,Data!F25),"")</f>
        <v>86.77341037326389</v>
      </c>
      <c r="I25" s="123">
        <f>IF(A25&gt;0,IF(Data!$F$4="F",(Data!G25-32)/1.8,Data!G25),"")</f>
        <v>27.600894504123264</v>
      </c>
      <c r="J25" s="136">
        <f t="shared" si="6"/>
        <v>1.0032315135116</v>
      </c>
      <c r="K25" s="128">
        <f t="shared" si="7"/>
        <v>0.48379837904838063</v>
      </c>
      <c r="L25" s="128">
        <f t="shared" si="8"/>
        <v>0.48536178004716557</v>
      </c>
      <c r="M25" s="155">
        <f t="shared" si="9"/>
        <v>135.818766491837</v>
      </c>
      <c r="N25" s="130">
        <f t="shared" si="10"/>
        <v>115.61754091681672</v>
      </c>
      <c r="O25" s="130">
        <f t="shared" si="11"/>
        <v>1.247457688473082</v>
      </c>
      <c r="P25" s="130">
        <f t="shared" si="12"/>
        <v>93.45365832306295</v>
      </c>
      <c r="Q25" s="130">
        <f t="shared" si="13"/>
        <v>1.247457688473095</v>
      </c>
      <c r="R25" s="129">
        <f t="shared" si="37"/>
        <v>7142.329702947641</v>
      </c>
      <c r="S25" s="130">
        <f t="shared" si="14"/>
        <v>4.166666666666667</v>
      </c>
      <c r="T25" s="130">
        <f t="shared" si="15"/>
        <v>6.6</v>
      </c>
      <c r="U25" s="134">
        <f t="shared" si="38"/>
        <v>2.68125</v>
      </c>
      <c r="V25" s="130">
        <f t="shared" si="16"/>
        <v>19887</v>
      </c>
      <c r="W25" s="130">
        <f t="shared" si="17"/>
        <v>19.17</v>
      </c>
      <c r="X25" s="130">
        <f t="shared" si="18"/>
        <v>79.07962753888604</v>
      </c>
      <c r="Y25" s="130">
        <f t="shared" si="19"/>
        <v>20.97602852490346</v>
      </c>
      <c r="Z25" s="130">
        <f t="shared" si="20"/>
        <v>0.21351705440034505</v>
      </c>
      <c r="AA25" s="130">
        <f t="shared" si="21"/>
        <v>0.7493482471602969</v>
      </c>
      <c r="AB25" s="130">
        <f t="shared" si="22"/>
        <v>-0.022370983819579138</v>
      </c>
      <c r="AC25" s="130">
        <f t="shared" si="23"/>
        <v>0.021244946912834333</v>
      </c>
      <c r="AD25" s="130">
        <f t="shared" si="24"/>
        <v>39.8439150333965</v>
      </c>
      <c r="AE25" s="130">
        <f t="shared" si="25"/>
        <v>941.7932257515934</v>
      </c>
      <c r="AF25" s="130">
        <f t="shared" si="26"/>
        <v>3.085134443464491</v>
      </c>
      <c r="AG25" s="130">
        <f t="shared" si="27"/>
        <v>-1.0530025756884593</v>
      </c>
      <c r="AH25" s="130">
        <f t="shared" si="28"/>
        <v>3722.279366634382</v>
      </c>
      <c r="AI25" s="130">
        <f t="shared" si="29"/>
        <v>35.271834297105556</v>
      </c>
      <c r="AJ25" s="130">
        <f t="shared" si="30"/>
        <v>13.175906470369913</v>
      </c>
      <c r="AK25" s="130">
        <f t="shared" si="39"/>
        <v>359.9234103732639</v>
      </c>
      <c r="AL25" s="130">
        <f t="shared" si="31"/>
        <v>2314.8156502249285</v>
      </c>
      <c r="AM25" s="130">
        <f t="shared" si="32"/>
        <v>1760.680243560932</v>
      </c>
      <c r="AN25" s="130">
        <f t="shared" si="33"/>
        <v>1716.7064062487314</v>
      </c>
      <c r="AO25" s="130">
        <f t="shared" si="34"/>
        <v>1696.7180659797793</v>
      </c>
      <c r="AP25" s="130">
        <f t="shared" si="35"/>
        <v>2187.6008427302345</v>
      </c>
      <c r="AQ25" s="130">
        <f t="shared" si="36"/>
        <v>2055.76691719471</v>
      </c>
      <c r="AR25" s="130">
        <f t="shared" si="40"/>
        <v>300.75089450412327</v>
      </c>
      <c r="AS25" s="130">
        <f t="shared" si="41"/>
        <v>92.23131808553853</v>
      </c>
      <c r="AT25" s="130">
        <f t="shared" si="42"/>
        <v>1658.1967261003513</v>
      </c>
      <c r="AU25" s="130">
        <f t="shared" si="43"/>
        <v>878.3677216225808</v>
      </c>
      <c r="AV25" s="130">
        <f t="shared" si="44"/>
        <v>6315.658647992326</v>
      </c>
      <c r="AW25" s="130">
        <f t="shared" si="45"/>
        <v>-939.6401100865094</v>
      </c>
      <c r="AX25" s="130">
        <f t="shared" si="46"/>
        <v>1623.3779522661978</v>
      </c>
      <c r="AY25" s="130">
        <f t="shared" si="47"/>
        <v>606.418024221533</v>
      </c>
      <c r="AZ25" s="130">
        <f t="shared" si="48"/>
        <v>10234.610280202018</v>
      </c>
      <c r="BA25" s="130">
        <f t="shared" si="49"/>
        <v>3675.7158446412304</v>
      </c>
      <c r="BB25" s="129">
        <f t="shared" si="50"/>
        <v>-23.07819552155246</v>
      </c>
      <c r="BC25" s="130">
        <f t="shared" si="51"/>
        <v>3698.794040162783</v>
      </c>
      <c r="BD25" s="129">
        <f t="shared" si="52"/>
        <v>3466.6138583064103</v>
      </c>
      <c r="BE25" s="129">
        <f t="shared" si="53"/>
        <v>-23.080534939377404</v>
      </c>
      <c r="BF25" s="130">
        <f t="shared" si="54"/>
        <v>31.02435392206022</v>
      </c>
      <c r="BG25" s="137">
        <f t="shared" si="55"/>
        <v>-6.050900848691149</v>
      </c>
      <c r="BH25" s="47"/>
      <c r="BI25" s="47"/>
      <c r="BJ25" s="47"/>
    </row>
    <row r="26" spans="1:62" ht="16.5" thickBot="1">
      <c r="A26" s="108">
        <f>IF(Data!A26&gt;0,Data!A26,"")</f>
        <v>6</v>
      </c>
      <c r="B26" s="109">
        <f>IF(A26&gt;0,IF(Data!$F$5="lb",Data!B26/2.204,Data!B26),"")</f>
        <v>115.1685766645871</v>
      </c>
      <c r="C26" s="109">
        <f>IF(A26&gt;0,Data!C26,"")</f>
        <v>0.19330216944217682</v>
      </c>
      <c r="D26" s="110">
        <f>IF(A26&gt;0,Data!D26,"")</f>
        <v>4.476490497589111</v>
      </c>
      <c r="E26" s="143">
        <f t="shared" si="3"/>
        <v>3.240506058066111</v>
      </c>
      <c r="F26" s="144">
        <f t="shared" si="4"/>
        <v>20.67170279915601</v>
      </c>
      <c r="G26" s="145">
        <f t="shared" si="5"/>
        <v>16.09856121684581</v>
      </c>
      <c r="H26" s="111">
        <f>IF(A26&gt;0,IF(Data!$F$4="F",(Data!F26-32)/1.8,Data!F26),"")</f>
        <v>96.38966878255208</v>
      </c>
      <c r="I26" s="123">
        <f>IF(A26&gt;0,IF(Data!$F$4="F",(Data!G26-32)/1.8,Data!G26),"")</f>
        <v>27.069291008843315</v>
      </c>
      <c r="J26" s="136">
        <f t="shared" si="6"/>
        <v>0.9744423893673108</v>
      </c>
      <c r="K26" s="128">
        <f t="shared" si="7"/>
        <v>0.7950775778606013</v>
      </c>
      <c r="L26" s="128">
        <f t="shared" si="8"/>
        <v>0.7747572947028583</v>
      </c>
      <c r="M26" s="155">
        <f t="shared" si="9"/>
        <v>25.9124425248292</v>
      </c>
      <c r="N26" s="130">
        <f t="shared" si="10"/>
        <v>115.1685766645871</v>
      </c>
      <c r="O26" s="130">
        <f t="shared" si="11"/>
        <v>1.6309320381530044</v>
      </c>
      <c r="P26" s="130">
        <f t="shared" si="12"/>
        <v>93.09076051798576</v>
      </c>
      <c r="Q26" s="130">
        <f t="shared" si="13"/>
        <v>1.6309320381530157</v>
      </c>
      <c r="R26" s="129">
        <f t="shared" si="37"/>
        <v>10822.696405835735</v>
      </c>
      <c r="S26" s="130">
        <f t="shared" si="14"/>
        <v>4.166666666666667</v>
      </c>
      <c r="T26" s="130">
        <f t="shared" si="15"/>
        <v>6.6</v>
      </c>
      <c r="U26" s="134">
        <f t="shared" si="38"/>
        <v>2.68125</v>
      </c>
      <c r="V26" s="130">
        <f t="shared" si="16"/>
        <v>19887</v>
      </c>
      <c r="W26" s="130">
        <f t="shared" si="17"/>
        <v>19.17</v>
      </c>
      <c r="X26" s="130">
        <f t="shared" si="18"/>
        <v>79.2316461161229</v>
      </c>
      <c r="Y26" s="130">
        <f t="shared" si="19"/>
        <v>21.016351754939762</v>
      </c>
      <c r="Z26" s="130">
        <f t="shared" si="20"/>
        <v>1.121290295111432</v>
      </c>
      <c r="AA26" s="130">
        <f t="shared" si="21"/>
        <v>3.6957575153350346</v>
      </c>
      <c r="AB26" s="130">
        <f t="shared" si="22"/>
        <v>0.002250229266345549</v>
      </c>
      <c r="AC26" s="130">
        <f t="shared" si="23"/>
        <v>0.11156838436358749</v>
      </c>
      <c r="AD26" s="130">
        <f t="shared" si="24"/>
        <v>40.123288717714026</v>
      </c>
      <c r="AE26" s="130">
        <f t="shared" si="25"/>
        <v>144.2932180892985</v>
      </c>
      <c r="AF26" s="130">
        <f t="shared" si="26"/>
        <v>1.7325891250000456</v>
      </c>
      <c r="AG26" s="130">
        <f t="shared" si="27"/>
        <v>0.020169058458463753</v>
      </c>
      <c r="AH26" s="130">
        <f t="shared" si="28"/>
        <v>710.1621715513674</v>
      </c>
      <c r="AI26" s="130">
        <f t="shared" si="29"/>
        <v>33.125491028811716</v>
      </c>
      <c r="AJ26" s="130">
        <f t="shared" si="30"/>
        <v>13.175906470369913</v>
      </c>
      <c r="AK26" s="130">
        <f t="shared" si="39"/>
        <v>369.53966878255204</v>
      </c>
      <c r="AL26" s="130">
        <f t="shared" si="31"/>
        <v>2720.9291490313094</v>
      </c>
      <c r="AM26" s="130">
        <f t="shared" si="32"/>
        <v>2065.4641060307636</v>
      </c>
      <c r="AN26" s="130">
        <f t="shared" si="33"/>
        <v>2012.8783445976608</v>
      </c>
      <c r="AO26" s="130">
        <f t="shared" si="34"/>
        <v>1989.6510053439727</v>
      </c>
      <c r="AP26" s="130">
        <f t="shared" si="35"/>
        <v>2580.3991329400146</v>
      </c>
      <c r="AQ26" s="130">
        <f t="shared" si="36"/>
        <v>2410.1179339799833</v>
      </c>
      <c r="AR26" s="130">
        <f t="shared" si="40"/>
        <v>300.2192910088433</v>
      </c>
      <c r="AS26" s="130">
        <f t="shared" si="41"/>
        <v>109.17262582702716</v>
      </c>
      <c r="AT26" s="130">
        <f t="shared" si="42"/>
        <v>298.032462707115</v>
      </c>
      <c r="AU26" s="130">
        <f t="shared" si="43"/>
        <v>493.79808538093585</v>
      </c>
      <c r="AV26" s="130">
        <f t="shared" si="44"/>
        <v>1412.974878584437</v>
      </c>
      <c r="AW26" s="130">
        <f t="shared" si="45"/>
        <v>18.0056526221107</v>
      </c>
      <c r="AX26" s="130">
        <f t="shared" si="46"/>
        <v>1536.3310550462547</v>
      </c>
      <c r="AY26" s="130">
        <f t="shared" si="47"/>
        <v>611.0869200763763</v>
      </c>
      <c r="AZ26" s="130">
        <f t="shared" si="48"/>
        <v>4479.401680244257</v>
      </c>
      <c r="BA26" s="130">
        <f t="shared" si="49"/>
        <v>2437.733417060093</v>
      </c>
      <c r="BB26" s="129">
        <f t="shared" si="50"/>
        <v>276.60238784778926</v>
      </c>
      <c r="BC26" s="130">
        <f t="shared" si="51"/>
        <v>2161.1310292123035</v>
      </c>
      <c r="BD26" s="129">
        <f t="shared" si="52"/>
        <v>8384.962988775642</v>
      </c>
      <c r="BE26" s="129">
        <f t="shared" si="53"/>
        <v>276.6022607361546</v>
      </c>
      <c r="BF26" s="130">
        <f t="shared" si="54"/>
        <v>26.40096599215498</v>
      </c>
      <c r="BG26" s="137">
        <f t="shared" si="55"/>
        <v>0.17561912524765444</v>
      </c>
      <c r="BH26" s="47"/>
      <c r="BI26" s="47"/>
      <c r="BJ26" s="47"/>
    </row>
    <row r="27" spans="1:62" ht="16.5" thickBot="1">
      <c r="A27" s="108">
        <f>IF(Data!A27&gt;0,Data!A27,"")</f>
        <v>7</v>
      </c>
      <c r="B27" s="109">
        <f>IF(A27&gt;0,IF(Data!$F$5="lb",Data!B27/2.204,Data!B27),"")</f>
        <v>114.27098739817873</v>
      </c>
      <c r="C27" s="109">
        <f>IF(A27&gt;0,Data!C27,"")</f>
        <v>0.297579288482666</v>
      </c>
      <c r="D27" s="110">
        <f>IF(A27&gt;0,Data!D27,"")</f>
        <v>23.076627731323242</v>
      </c>
      <c r="E27" s="143">
        <f t="shared" si="3"/>
        <v>-0.1528147210436015</v>
      </c>
      <c r="F27" s="144">
        <f t="shared" si="4"/>
        <v>19.597063650890377</v>
      </c>
      <c r="G27" s="145">
        <f t="shared" si="5"/>
        <v>-3.6283537246741986</v>
      </c>
      <c r="H27" s="111">
        <f>IF(A27&gt;0,IF(Data!$F$4="F",(Data!F27-32)/1.8,Data!F27),"")</f>
        <v>101.14440070258246</v>
      </c>
      <c r="I27" s="123">
        <f>IF(A27&gt;0,IF(Data!$F$4="F",(Data!G27-32)/1.8,Data!G27),"")</f>
        <v>27.425706651475693</v>
      </c>
      <c r="J27" s="136">
        <f t="shared" si="6"/>
        <v>0.9885370997314937</v>
      </c>
      <c r="K27" s="128">
        <f t="shared" si="7"/>
        <v>0.8698402762583025</v>
      </c>
      <c r="L27" s="128">
        <f t="shared" si="8"/>
        <v>0.8598693839220235</v>
      </c>
      <c r="M27" s="155">
        <f t="shared" si="9"/>
        <v>5.2353332885423045</v>
      </c>
      <c r="N27" s="130">
        <f t="shared" si="10"/>
        <v>114.27098739817873</v>
      </c>
      <c r="O27" s="130">
        <f t="shared" si="11"/>
        <v>2.3975909837289064</v>
      </c>
      <c r="P27" s="130">
        <f t="shared" si="12"/>
        <v>92.36523911394787</v>
      </c>
      <c r="Q27" s="130">
        <f t="shared" si="13"/>
        <v>2.39759098372892</v>
      </c>
      <c r="R27" s="129">
        <f t="shared" si="37"/>
        <v>10792.31464233404</v>
      </c>
      <c r="S27" s="130">
        <f t="shared" si="14"/>
        <v>4.166666666666667</v>
      </c>
      <c r="T27" s="130">
        <f t="shared" si="15"/>
        <v>6.6</v>
      </c>
      <c r="U27" s="134">
        <f t="shared" si="38"/>
        <v>2.68125</v>
      </c>
      <c r="V27" s="130">
        <f t="shared" si="16"/>
        <v>19887</v>
      </c>
      <c r="W27" s="130">
        <f t="shared" si="17"/>
        <v>19.17</v>
      </c>
      <c r="X27" s="130">
        <f t="shared" si="18"/>
        <v>80.25414670486829</v>
      </c>
      <c r="Y27" s="130">
        <f t="shared" si="19"/>
        <v>21.28757207025684</v>
      </c>
      <c r="Z27" s="130">
        <f t="shared" si="20"/>
        <v>5.6214827589581065</v>
      </c>
      <c r="AA27" s="130">
        <f t="shared" si="21"/>
        <v>18.453617486189344</v>
      </c>
      <c r="AB27" s="130">
        <f t="shared" si="22"/>
        <v>0.04863780918620364</v>
      </c>
      <c r="AC27" s="130">
        <f t="shared" si="23"/>
        <v>0.5593375345163316</v>
      </c>
      <c r="AD27" s="130">
        <f t="shared" si="24"/>
        <v>41.25706985010041</v>
      </c>
      <c r="AE27" s="130">
        <f t="shared" si="25"/>
        <v>-6.486876886979695</v>
      </c>
      <c r="AF27" s="130">
        <f t="shared" si="26"/>
        <v>0.5320209535732082</v>
      </c>
      <c r="AG27" s="130">
        <f t="shared" si="27"/>
        <v>0.08695609749891281</v>
      </c>
      <c r="AH27" s="130">
        <f t="shared" si="28"/>
        <v>143.48071021957318</v>
      </c>
      <c r="AI27" s="130">
        <f t="shared" si="29"/>
        <v>32.99191695073082</v>
      </c>
      <c r="AJ27" s="130">
        <f t="shared" si="30"/>
        <v>13.175906470369913</v>
      </c>
      <c r="AK27" s="130">
        <f t="shared" si="39"/>
        <v>374.29440070258244</v>
      </c>
      <c r="AL27" s="130">
        <f t="shared" si="31"/>
        <v>2899.033095309628</v>
      </c>
      <c r="AM27" s="130">
        <f t="shared" si="32"/>
        <v>2198.211507433962</v>
      </c>
      <c r="AN27" s="130">
        <f t="shared" si="33"/>
        <v>2141.6486881273213</v>
      </c>
      <c r="AO27" s="130">
        <f t="shared" si="34"/>
        <v>2117.0606310064095</v>
      </c>
      <c r="AP27" s="130">
        <f t="shared" si="35"/>
        <v>2754.6732009295915</v>
      </c>
      <c r="AQ27" s="130">
        <f t="shared" si="36"/>
        <v>2564.1116152848904</v>
      </c>
      <c r="AR27" s="130">
        <f t="shared" si="40"/>
        <v>300.5757066514757</v>
      </c>
      <c r="AS27" s="130">
        <f t="shared" si="41"/>
        <v>119.60561091094212</v>
      </c>
      <c r="AT27" s="130">
        <f t="shared" si="42"/>
        <v>-14.259527420266162</v>
      </c>
      <c r="AU27" s="130">
        <f t="shared" si="43"/>
        <v>151.69760769181926</v>
      </c>
      <c r="AV27" s="130">
        <f t="shared" si="44"/>
        <v>303.75736291469735</v>
      </c>
      <c r="AW27" s="130">
        <f t="shared" si="45"/>
        <v>77.6440275566799</v>
      </c>
      <c r="AX27" s="130">
        <f t="shared" si="46"/>
        <v>1535.2165538705667</v>
      </c>
      <c r="AY27" s="130">
        <f t="shared" si="47"/>
        <v>613.1159264182776</v>
      </c>
      <c r="AZ27" s="130">
        <f t="shared" si="48"/>
        <v>2786.7775619427166</v>
      </c>
      <c r="BA27" s="130">
        <f t="shared" si="49"/>
        <v>1512.3336997376346</v>
      </c>
      <c r="BB27" s="129">
        <f t="shared" si="50"/>
        <v>123.71101989384854</v>
      </c>
      <c r="BC27" s="130">
        <f t="shared" si="51"/>
        <v>1388.622679843786</v>
      </c>
      <c r="BD27" s="129">
        <f t="shared" si="52"/>
        <v>9279.980942596405</v>
      </c>
      <c r="BE27" s="129">
        <f t="shared" si="53"/>
        <v>123.71122641141557</v>
      </c>
      <c r="BF27" s="130">
        <f t="shared" si="54"/>
        <v>8.084107746957626</v>
      </c>
      <c r="BG27" s="137">
        <f t="shared" si="55"/>
        <v>0.7550319821211792</v>
      </c>
      <c r="BH27" s="47"/>
      <c r="BI27" s="47"/>
      <c r="BJ27" s="47"/>
    </row>
    <row r="28" spans="1:62" ht="16.5" thickBot="1">
      <c r="A28" s="108">
        <f>IF(Data!A28&gt;0,Data!A28,"")</f>
        <v>8</v>
      </c>
      <c r="B28" s="109">
        <f>IF(A28&gt;0,IF(Data!$F$5="lb",Data!B28/2.204,Data!B28),"")</f>
        <v>113.8258032270871</v>
      </c>
      <c r="C28" s="109">
        <f>IF(A28&gt;0,Data!C28,"")</f>
        <v>1.427010178565979</v>
      </c>
      <c r="D28" s="110">
        <f>IF(A28&gt;0,Data!D28,"")</f>
        <v>27.441715240478516</v>
      </c>
      <c r="E28" s="143">
        <f t="shared" si="3"/>
        <v>-0.3140575551217287</v>
      </c>
      <c r="F28" s="144">
        <f t="shared" si="4"/>
        <v>19.281382846277975</v>
      </c>
      <c r="G28" s="145">
        <f t="shared" si="5"/>
        <v>-8.87383748348353</v>
      </c>
      <c r="H28" s="111">
        <f>IF(A28&gt;0,IF(Data!$F$4="F",(Data!F28-32)/1.8,Data!F28),"")</f>
        <v>104.4501241048177</v>
      </c>
      <c r="I28" s="123">
        <f>IF(A28&gt;0,IF(Data!$F$4="F",(Data!G28-32)/1.8,Data!G28),"")</f>
        <v>27.43289523654514</v>
      </c>
      <c r="J28" s="136">
        <f t="shared" si="6"/>
        <v>0.9566107237827259</v>
      </c>
      <c r="K28" s="128">
        <f t="shared" si="7"/>
        <v>0.8694781859062232</v>
      </c>
      <c r="L28" s="128">
        <f t="shared" si="8"/>
        <v>0.8317521567330437</v>
      </c>
      <c r="M28" s="155">
        <f t="shared" si="9"/>
        <v>4.202563541648177</v>
      </c>
      <c r="N28" s="130">
        <f t="shared" si="10"/>
        <v>113.8258032270871</v>
      </c>
      <c r="O28" s="130">
        <f t="shared" si="11"/>
        <v>2.7778366483878516</v>
      </c>
      <c r="P28" s="130">
        <f t="shared" si="12"/>
        <v>92.00539674845452</v>
      </c>
      <c r="Q28" s="130">
        <f t="shared" si="13"/>
        <v>2.777836648387854</v>
      </c>
      <c r="R28" s="129">
        <f t="shared" si="37"/>
        <v>7623.763801515305</v>
      </c>
      <c r="S28" s="130">
        <f t="shared" si="14"/>
        <v>4.166666666666667</v>
      </c>
      <c r="T28" s="130">
        <f t="shared" si="15"/>
        <v>6.6</v>
      </c>
      <c r="U28" s="134">
        <f t="shared" si="38"/>
        <v>2.68125</v>
      </c>
      <c r="V28" s="130">
        <f t="shared" si="16"/>
        <v>19887</v>
      </c>
      <c r="W28" s="130">
        <f t="shared" si="17"/>
        <v>19.17</v>
      </c>
      <c r="X28" s="130">
        <f t="shared" si="18"/>
        <v>80.00511206443903</v>
      </c>
      <c r="Y28" s="130">
        <f t="shared" si="19"/>
        <v>21.221515136455977</v>
      </c>
      <c r="Z28" s="130">
        <f t="shared" si="20"/>
        <v>6.981217770378567</v>
      </c>
      <c r="AA28" s="130">
        <f t="shared" si="21"/>
        <v>22.59865472718353</v>
      </c>
      <c r="AB28" s="130">
        <f t="shared" si="22"/>
        <v>0.21968195753287034</v>
      </c>
      <c r="AC28" s="130">
        <f t="shared" si="23"/>
        <v>0.6946311681526675</v>
      </c>
      <c r="AD28" s="130">
        <f t="shared" si="24"/>
        <v>39.50544763699305</v>
      </c>
      <c r="AE28" s="130">
        <f t="shared" si="25"/>
        <v>-12.77489103617824</v>
      </c>
      <c r="AF28" s="130">
        <f t="shared" si="26"/>
        <v>2.054342281186478</v>
      </c>
      <c r="AG28" s="130">
        <f t="shared" si="27"/>
        <v>0.3162569829930064</v>
      </c>
      <c r="AH28" s="130">
        <f t="shared" si="28"/>
        <v>115.17639249791819</v>
      </c>
      <c r="AI28" s="130">
        <f t="shared" si="29"/>
        <v>32.53331517974263</v>
      </c>
      <c r="AJ28" s="130">
        <f t="shared" si="30"/>
        <v>13.175906470369913</v>
      </c>
      <c r="AK28" s="130">
        <f t="shared" si="39"/>
        <v>377.60012410481767</v>
      </c>
      <c r="AL28" s="130">
        <f t="shared" si="31"/>
        <v>3032.4497045890225</v>
      </c>
      <c r="AM28" s="130">
        <f t="shared" si="32"/>
        <v>2297.718419218429</v>
      </c>
      <c r="AN28" s="130">
        <f t="shared" si="33"/>
        <v>2238.1909456025496</v>
      </c>
      <c r="AO28" s="130">
        <f t="shared" si="34"/>
        <v>2212.579243973713</v>
      </c>
      <c r="AP28" s="130">
        <f t="shared" si="35"/>
        <v>2885.074985251177</v>
      </c>
      <c r="AQ28" s="130">
        <f t="shared" si="36"/>
        <v>2679.5696873058578</v>
      </c>
      <c r="AR28" s="130">
        <f t="shared" si="40"/>
        <v>300.58289523654514</v>
      </c>
      <c r="AS28" s="130">
        <f t="shared" si="41"/>
        <v>119.79828301645666</v>
      </c>
      <c r="AT28" s="130">
        <f t="shared" si="42"/>
        <v>-29.353102437335142</v>
      </c>
      <c r="AU28" s="130">
        <f t="shared" si="43"/>
        <v>585.9624954727251</v>
      </c>
      <c r="AV28" s="130">
        <f t="shared" si="44"/>
        <v>254.83689543666347</v>
      </c>
      <c r="AW28" s="130">
        <f t="shared" si="45"/>
        <v>282.4304760636668</v>
      </c>
      <c r="AX28" s="130">
        <f t="shared" si="46"/>
        <v>1517.6326203213096</v>
      </c>
      <c r="AY28" s="130">
        <f t="shared" si="47"/>
        <v>614.6371911764751</v>
      </c>
      <c r="AZ28" s="130">
        <f t="shared" si="48"/>
        <v>3345.944859049961</v>
      </c>
      <c r="BA28" s="130">
        <f t="shared" si="49"/>
        <v>1282.6818171816424</v>
      </c>
      <c r="BB28" s="129">
        <f t="shared" si="50"/>
        <v>330.78907197215176</v>
      </c>
      <c r="BC28" s="130">
        <f t="shared" si="51"/>
        <v>951.8927452094906</v>
      </c>
      <c r="BD28" s="129">
        <f t="shared" si="52"/>
        <v>6341.081984333663</v>
      </c>
      <c r="BE28" s="129">
        <f t="shared" si="53"/>
        <v>330.7895933992023</v>
      </c>
      <c r="BF28" s="130">
        <f t="shared" si="54"/>
        <v>22.051137373082504</v>
      </c>
      <c r="BG28" s="137">
        <f t="shared" si="55"/>
        <v>1.9398147846681943</v>
      </c>
      <c r="BH28" s="47"/>
      <c r="BI28" s="47"/>
      <c r="BJ28" s="47"/>
    </row>
    <row r="29" spans="1:62" ht="16.5" thickBot="1">
      <c r="A29" s="108">
        <f>IF(Data!A29&gt;0,Data!A29,"")</f>
        <v>9</v>
      </c>
      <c r="B29" s="109">
        <f>IF(A29&gt;0,IF(Data!$F$5="lb",Data!B29/2.204,Data!B29),"")</f>
        <v>113.32244319188833</v>
      </c>
      <c r="C29" s="109">
        <f>IF(A29&gt;0,Data!C29,"")</f>
        <v>2.3224668502807617</v>
      </c>
      <c r="D29" s="110">
        <f>IF(A29&gt;0,Data!D29,"")</f>
        <v>27.441898345947266</v>
      </c>
      <c r="E29" s="143">
        <f t="shared" si="3"/>
        <v>-0.33469825531611286</v>
      </c>
      <c r="F29" s="144">
        <f t="shared" si="4"/>
        <v>19.229924963173364</v>
      </c>
      <c r="G29" s="145">
        <f t="shared" si="5"/>
        <v>-9.373206807914283</v>
      </c>
      <c r="H29" s="111">
        <f>IF(A29&gt;0,IF(Data!$F$4="F",(Data!F29-32)/1.8,Data!F29),"")</f>
        <v>107.48624165852864</v>
      </c>
      <c r="I29" s="123">
        <f>IF(A29&gt;0,IF(Data!$F$4="F",(Data!G29-32)/1.8,Data!G29),"")</f>
        <v>26.991924709743923</v>
      </c>
      <c r="J29" s="136">
        <f t="shared" si="6"/>
        <v>0.9322899962307045</v>
      </c>
      <c r="K29" s="128">
        <f t="shared" si="7"/>
        <v>0.8664114396335946</v>
      </c>
      <c r="L29" s="128">
        <f t="shared" si="8"/>
        <v>0.8077467177902432</v>
      </c>
      <c r="M29" s="155">
        <f t="shared" si="9"/>
        <v>4.0393517486975385</v>
      </c>
      <c r="N29" s="130">
        <f t="shared" si="10"/>
        <v>113.32244319188833</v>
      </c>
      <c r="O29" s="130">
        <f t="shared" si="11"/>
        <v>3.2077721303201545</v>
      </c>
      <c r="P29" s="130">
        <f t="shared" si="12"/>
        <v>91.59853083200333</v>
      </c>
      <c r="Q29" s="130">
        <f t="shared" si="13"/>
        <v>3.2077721303201634</v>
      </c>
      <c r="R29" s="129">
        <f t="shared" si="37"/>
        <v>7571.124335814685</v>
      </c>
      <c r="S29" s="130">
        <f t="shared" si="14"/>
        <v>4.166666666666667</v>
      </c>
      <c r="T29" s="130">
        <f t="shared" si="15"/>
        <v>6.6</v>
      </c>
      <c r="U29" s="134">
        <f t="shared" si="38"/>
        <v>2.68125</v>
      </c>
      <c r="V29" s="130">
        <f t="shared" si="16"/>
        <v>19887</v>
      </c>
      <c r="W29" s="130">
        <f t="shared" si="17"/>
        <v>19.17</v>
      </c>
      <c r="X29" s="130">
        <f t="shared" si="18"/>
        <v>79.60884161168626</v>
      </c>
      <c r="Y29" s="130">
        <f t="shared" si="19"/>
        <v>21.11640361052686</v>
      </c>
      <c r="Z29" s="130">
        <f t="shared" si="20"/>
        <v>7.227321384531338</v>
      </c>
      <c r="AA29" s="130">
        <f t="shared" si="21"/>
        <v>23.151212756981643</v>
      </c>
      <c r="AB29" s="130">
        <f t="shared" si="22"/>
        <v>0.3494739059858851</v>
      </c>
      <c r="AC29" s="130">
        <f t="shared" si="23"/>
        <v>0.7191184777608681</v>
      </c>
      <c r="AD29" s="130">
        <f t="shared" si="24"/>
        <v>38.16046895553788</v>
      </c>
      <c r="AE29" s="130">
        <f t="shared" si="25"/>
        <v>-13.034301158690571</v>
      </c>
      <c r="AF29" s="130">
        <f t="shared" si="26"/>
        <v>3.229602523234096</v>
      </c>
      <c r="AG29" s="130">
        <f t="shared" si="27"/>
        <v>0.48597542240055935</v>
      </c>
      <c r="AH29" s="130">
        <f t="shared" si="28"/>
        <v>110.70337374665398</v>
      </c>
      <c r="AI29" s="130">
        <f t="shared" si="29"/>
        <v>32.19387830092752</v>
      </c>
      <c r="AJ29" s="130">
        <f t="shared" si="30"/>
        <v>13.175906470369913</v>
      </c>
      <c r="AK29" s="130">
        <f t="shared" si="39"/>
        <v>380.6362416585286</v>
      </c>
      <c r="AL29" s="130">
        <f t="shared" si="31"/>
        <v>3172.384338351274</v>
      </c>
      <c r="AM29" s="130">
        <f t="shared" si="32"/>
        <v>2402.393277251924</v>
      </c>
      <c r="AN29" s="130">
        <f t="shared" si="33"/>
        <v>2339.8232027501795</v>
      </c>
      <c r="AO29" s="130">
        <f t="shared" si="34"/>
        <v>2313.117880914269</v>
      </c>
      <c r="AP29" s="130">
        <f t="shared" si="35"/>
        <v>3021.176186233889</v>
      </c>
      <c r="AQ29" s="130">
        <f t="shared" si="36"/>
        <v>2801.139265082179</v>
      </c>
      <c r="AR29" s="130">
        <f t="shared" si="40"/>
        <v>300.1419247097439</v>
      </c>
      <c r="AS29" s="130">
        <f t="shared" si="41"/>
        <v>121.05967405868837</v>
      </c>
      <c r="AT29" s="130">
        <f t="shared" si="42"/>
        <v>-31.313517477315187</v>
      </c>
      <c r="AU29" s="130">
        <f t="shared" si="43"/>
        <v>921.5116057771102</v>
      </c>
      <c r="AV29" s="130">
        <f t="shared" si="44"/>
        <v>256.0699532909206</v>
      </c>
      <c r="AW29" s="130">
        <f t="shared" si="45"/>
        <v>434.06215547564386</v>
      </c>
      <c r="AX29" s="130">
        <f t="shared" si="46"/>
        <v>1505.7121716174875</v>
      </c>
      <c r="AY29" s="130">
        <f t="shared" si="47"/>
        <v>616.2389805628983</v>
      </c>
      <c r="AZ29" s="130">
        <f t="shared" si="48"/>
        <v>3823.3410233054333</v>
      </c>
      <c r="BA29" s="130">
        <f t="shared" si="49"/>
        <v>1455.573503578538</v>
      </c>
      <c r="BB29" s="129">
        <f t="shared" si="50"/>
        <v>512.6400671420605</v>
      </c>
      <c r="BC29" s="130">
        <f t="shared" si="51"/>
        <v>942.9334364364776</v>
      </c>
      <c r="BD29" s="129">
        <f t="shared" si="52"/>
        <v>6115.550832236147</v>
      </c>
      <c r="BE29" s="129">
        <f t="shared" si="53"/>
        <v>512.6408573158169</v>
      </c>
      <c r="BF29" s="130">
        <f t="shared" si="54"/>
        <v>34.42692327865706</v>
      </c>
      <c r="BG29" s="137">
        <f t="shared" si="55"/>
        <v>2.9602295748134524</v>
      </c>
      <c r="BH29" s="47"/>
      <c r="BI29" s="47"/>
      <c r="BJ29" s="47"/>
    </row>
    <row r="30" spans="1:62" ht="16.5" thickBot="1">
      <c r="A30" s="108">
        <f>IF(Data!A30&gt;0,Data!A30,"")</f>
        <v>10</v>
      </c>
      <c r="B30" s="109">
        <f>IF(A30&gt;0,IF(Data!$F$5="lb",Data!B30/2.204,Data!B30),"")</f>
        <v>112.88380839214567</v>
      </c>
      <c r="C30" s="109">
        <f>IF(A30&gt;0,Data!C30,"")</f>
        <v>2.4133450984954834</v>
      </c>
      <c r="D30" s="110">
        <f>IF(A30&gt;0,Data!D30,"")</f>
        <v>27.44168472290039</v>
      </c>
      <c r="E30" s="143">
        <f t="shared" si="3"/>
        <v>-0.3367186630553156</v>
      </c>
      <c r="F30" s="144">
        <f t="shared" si="4"/>
        <v>19.224715938515835</v>
      </c>
      <c r="G30" s="145">
        <f t="shared" si="5"/>
        <v>-9.423641333632297</v>
      </c>
      <c r="H30" s="111">
        <f>IF(A30&gt;0,IF(Data!$F$4="F",(Data!F30-32)/1.8,Data!F30),"")</f>
        <v>110.08659362792969</v>
      </c>
      <c r="I30" s="123">
        <f>IF(A30&gt;0,IF(Data!$F$4="F",(Data!G30-32)/1.8,Data!G30),"")</f>
        <v>27.19801584879557</v>
      </c>
      <c r="J30" s="136">
        <f t="shared" si="6"/>
        <v>0.9299134752708281</v>
      </c>
      <c r="K30" s="128">
        <f t="shared" si="7"/>
        <v>0.8654315165645291</v>
      </c>
      <c r="L30" s="128">
        <f t="shared" si="8"/>
        <v>0.8047764291774245</v>
      </c>
      <c r="M30" s="155">
        <f t="shared" si="9"/>
        <v>4.023437119816346</v>
      </c>
      <c r="N30" s="130">
        <f t="shared" si="10"/>
        <v>112.88380839214567</v>
      </c>
      <c r="O30" s="130">
        <f t="shared" si="11"/>
        <v>3.5824237729464214</v>
      </c>
      <c r="P30" s="130">
        <f t="shared" si="12"/>
        <v>91.24398232337134</v>
      </c>
      <c r="Q30" s="130">
        <f t="shared" si="13"/>
        <v>3.5824237729464325</v>
      </c>
      <c r="R30" s="129">
        <f t="shared" si="37"/>
        <v>10457.4475127473</v>
      </c>
      <c r="S30" s="130">
        <f t="shared" si="14"/>
        <v>4.166666666666667</v>
      </c>
      <c r="T30" s="130">
        <f t="shared" si="15"/>
        <v>6.6</v>
      </c>
      <c r="U30" s="134">
        <f t="shared" si="38"/>
        <v>2.68125</v>
      </c>
      <c r="V30" s="130">
        <f t="shared" si="16"/>
        <v>19887</v>
      </c>
      <c r="W30" s="130">
        <f t="shared" si="17"/>
        <v>19.17</v>
      </c>
      <c r="X30" s="130">
        <f t="shared" si="18"/>
        <v>79.56861151223643</v>
      </c>
      <c r="Y30" s="130">
        <f t="shared" si="19"/>
        <v>21.105732496614436</v>
      </c>
      <c r="Z30" s="130">
        <f t="shared" si="20"/>
        <v>7.252242163857786</v>
      </c>
      <c r="AA30" s="130">
        <f t="shared" si="21"/>
        <v>23.207107418040888</v>
      </c>
      <c r="AB30" s="130">
        <f t="shared" si="22"/>
        <v>0.36264586134490173</v>
      </c>
      <c r="AC30" s="130">
        <f t="shared" si="23"/>
        <v>0.7215980953038497</v>
      </c>
      <c r="AD30" s="130">
        <f t="shared" si="24"/>
        <v>38.029042622881754</v>
      </c>
      <c r="AE30" s="130">
        <f t="shared" si="25"/>
        <v>-13.05940439000771</v>
      </c>
      <c r="AF30" s="130">
        <f t="shared" si="26"/>
        <v>3.3444449399208502</v>
      </c>
      <c r="AG30" s="130">
        <f t="shared" si="27"/>
        <v>0.5025593383699263</v>
      </c>
      <c r="AH30" s="130">
        <f t="shared" si="28"/>
        <v>110.2672138827248</v>
      </c>
      <c r="AI30" s="130">
        <f t="shared" si="29"/>
        <v>32.16071046898879</v>
      </c>
      <c r="AJ30" s="130">
        <f t="shared" si="30"/>
        <v>13.175906470369913</v>
      </c>
      <c r="AK30" s="130">
        <f t="shared" si="39"/>
        <v>383.23659362792966</v>
      </c>
      <c r="AL30" s="130">
        <f t="shared" si="31"/>
        <v>3270.118250628464</v>
      </c>
      <c r="AM30" s="130">
        <f t="shared" si="32"/>
        <v>2474.897992401307</v>
      </c>
      <c r="AN30" s="130">
        <f t="shared" si="33"/>
        <v>2410.071346636286</v>
      </c>
      <c r="AO30" s="130">
        <f t="shared" si="34"/>
        <v>2382.641475768039</v>
      </c>
      <c r="AP30" s="130">
        <f t="shared" si="35"/>
        <v>3117.552890152842</v>
      </c>
      <c r="AQ30" s="130">
        <f t="shared" si="36"/>
        <v>2885.120642047574</v>
      </c>
      <c r="AR30" s="130">
        <f t="shared" si="40"/>
        <v>300.34801584879557</v>
      </c>
      <c r="AS30" s="130">
        <f t="shared" si="41"/>
        <v>124.35946633501337</v>
      </c>
      <c r="AT30" s="130">
        <f t="shared" si="42"/>
        <v>-32.3206937067869</v>
      </c>
      <c r="AU30" s="130">
        <f t="shared" si="43"/>
        <v>954.514857803127</v>
      </c>
      <c r="AV30" s="130">
        <f t="shared" si="44"/>
        <v>262.7272372143654</v>
      </c>
      <c r="AW30" s="130">
        <f t="shared" si="45"/>
        <v>448.9229657238286</v>
      </c>
      <c r="AX30" s="130">
        <f t="shared" si="46"/>
        <v>1506.861808247963</v>
      </c>
      <c r="AY30" s="130">
        <f t="shared" si="47"/>
        <v>617.3455113310472</v>
      </c>
      <c r="AZ30" s="130">
        <f t="shared" si="48"/>
        <v>3882.411152948558</v>
      </c>
      <c r="BA30" s="130">
        <f t="shared" si="49"/>
        <v>2041.5402451281882</v>
      </c>
      <c r="BB30" s="129">
        <f t="shared" si="50"/>
        <v>732.9250255389975</v>
      </c>
      <c r="BC30" s="130">
        <f t="shared" si="51"/>
        <v>1308.6152195891907</v>
      </c>
      <c r="BD30" s="129">
        <f t="shared" si="52"/>
        <v>8415.907267619112</v>
      </c>
      <c r="BE30" s="129">
        <f t="shared" si="53"/>
        <v>732.9261537061807</v>
      </c>
      <c r="BF30" s="130">
        <f t="shared" si="54"/>
        <v>49.24231949101808</v>
      </c>
      <c r="BG30" s="137">
        <f t="shared" si="55"/>
        <v>4.228280105029025</v>
      </c>
      <c r="BH30" s="47"/>
      <c r="BI30" s="47"/>
      <c r="BJ30" s="47"/>
    </row>
    <row r="31" spans="1:62" ht="16.5" thickBot="1">
      <c r="A31" s="108">
        <f>IF(Data!A31&gt;0,Data!A31,"")</f>
        <v>11</v>
      </c>
      <c r="B31" s="109">
        <f>IF(A31&gt;0,IF(Data!$F$5="lb",Data!B31/2.204,Data!B31),"")</f>
        <v>112.02133372561251</v>
      </c>
      <c r="C31" s="109">
        <f>IF(A31&gt;0,Data!C31,"")</f>
        <v>2.0590126514434814</v>
      </c>
      <c r="D31" s="110">
        <f>IF(A31&gt;0,Data!D31,"")</f>
        <v>27.44211196899414</v>
      </c>
      <c r="E31" s="143">
        <f t="shared" si="3"/>
        <v>-0.32876172182465335</v>
      </c>
      <c r="F31" s="144">
        <f t="shared" si="4"/>
        <v>19.245049127064355</v>
      </c>
      <c r="G31" s="145">
        <f t="shared" si="5"/>
        <v>-9.226569167651526</v>
      </c>
      <c r="H31" s="111">
        <f>IF(A31&gt;0,IF(Data!$F$4="F",(Data!F31-32)/1.8,Data!F31),"")</f>
        <v>111.11406114366319</v>
      </c>
      <c r="I31" s="123">
        <f>IF(A31&gt;0,IF(Data!$F$4="F",(Data!G31-32)/1.8,Data!G31),"")</f>
        <v>26.936755710177952</v>
      </c>
      <c r="J31" s="136">
        <f t="shared" si="6"/>
        <v>0.9392722563768026</v>
      </c>
      <c r="K31" s="128">
        <f t="shared" si="7"/>
        <v>0.8657710179528546</v>
      </c>
      <c r="L31" s="128">
        <f t="shared" si="8"/>
        <v>0.8131946975382189</v>
      </c>
      <c r="M31" s="155">
        <f t="shared" si="9"/>
        <v>4.086168962261709</v>
      </c>
      <c r="N31" s="130">
        <f t="shared" si="10"/>
        <v>112.02133372561251</v>
      </c>
      <c r="O31" s="130">
        <f t="shared" si="11"/>
        <v>4.319090245213932</v>
      </c>
      <c r="P31" s="130">
        <f t="shared" si="12"/>
        <v>90.54684405041259</v>
      </c>
      <c r="Q31" s="130">
        <f t="shared" si="13"/>
        <v>4.3190902452139435</v>
      </c>
      <c r="R31" s="129">
        <f t="shared" si="37"/>
        <v>10518.322328262275</v>
      </c>
      <c r="S31" s="130">
        <f t="shared" si="14"/>
        <v>4.166666666666667</v>
      </c>
      <c r="T31" s="130">
        <f t="shared" si="15"/>
        <v>6.6</v>
      </c>
      <c r="U31" s="134">
        <f t="shared" si="38"/>
        <v>2.68125</v>
      </c>
      <c r="V31" s="130">
        <f t="shared" si="16"/>
        <v>19887</v>
      </c>
      <c r="W31" s="130">
        <f t="shared" si="17"/>
        <v>19.17</v>
      </c>
      <c r="X31" s="130">
        <f t="shared" si="18"/>
        <v>79.7254445472139</v>
      </c>
      <c r="Y31" s="130">
        <f t="shared" si="19"/>
        <v>21.14733277114427</v>
      </c>
      <c r="Z31" s="130">
        <f t="shared" si="20"/>
        <v>7.154979027087064</v>
      </c>
      <c r="AA31" s="130">
        <f t="shared" si="21"/>
        <v>22.988854804537016</v>
      </c>
      <c r="AB31" s="130">
        <f t="shared" si="22"/>
        <v>0.3112879924251466</v>
      </c>
      <c r="AC31" s="130">
        <f t="shared" si="23"/>
        <v>0.7119204131951629</v>
      </c>
      <c r="AD31" s="130">
        <f t="shared" si="24"/>
        <v>38.546600800265686</v>
      </c>
      <c r="AE31" s="130">
        <f t="shared" si="25"/>
        <v>-12.96011323266017</v>
      </c>
      <c r="AF31" s="130">
        <f t="shared" si="26"/>
        <v>2.8921949887662968</v>
      </c>
      <c r="AG31" s="130">
        <f t="shared" si="27"/>
        <v>0.43725111214055246</v>
      </c>
      <c r="AH31" s="130">
        <f t="shared" si="28"/>
        <v>111.98645672962084</v>
      </c>
      <c r="AI31" s="130">
        <f t="shared" si="29"/>
        <v>32.291326921447535</v>
      </c>
      <c r="AJ31" s="130">
        <f t="shared" si="30"/>
        <v>13.175906470369913</v>
      </c>
      <c r="AK31" s="130">
        <f t="shared" si="39"/>
        <v>384.2640611436632</v>
      </c>
      <c r="AL31" s="130">
        <f t="shared" si="31"/>
        <v>3321.8963146475867</v>
      </c>
      <c r="AM31" s="130">
        <f t="shared" si="32"/>
        <v>2513.6672289224257</v>
      </c>
      <c r="AN31" s="130">
        <f t="shared" si="33"/>
        <v>2447.7230318394163</v>
      </c>
      <c r="AO31" s="130">
        <f t="shared" si="34"/>
        <v>2419.8860384472564</v>
      </c>
      <c r="AP31" s="130">
        <f t="shared" si="35"/>
        <v>3167.8296252128107</v>
      </c>
      <c r="AQ31" s="130">
        <f t="shared" si="36"/>
        <v>2930.1614812806797</v>
      </c>
      <c r="AR31" s="130">
        <f t="shared" si="40"/>
        <v>300.08675571017795</v>
      </c>
      <c r="AS31" s="130">
        <f t="shared" si="41"/>
        <v>128.0478111405943</v>
      </c>
      <c r="AT31" s="130">
        <f t="shared" si="42"/>
        <v>-32.57741191606175</v>
      </c>
      <c r="AU31" s="130">
        <f t="shared" si="43"/>
        <v>825.5502287425145</v>
      </c>
      <c r="AV31" s="130">
        <f t="shared" si="44"/>
        <v>270.9944631351873</v>
      </c>
      <c r="AW31" s="130">
        <f t="shared" si="45"/>
        <v>390.6068380052817</v>
      </c>
      <c r="AX31" s="130">
        <f t="shared" si="46"/>
        <v>1514.4361557337943</v>
      </c>
      <c r="AY31" s="130">
        <f t="shared" si="47"/>
        <v>617.9389652161295</v>
      </c>
      <c r="AZ31" s="130">
        <f t="shared" si="48"/>
        <v>3714.9970500574395</v>
      </c>
      <c r="BA31" s="130">
        <f t="shared" si="49"/>
        <v>1964.8783839215394</v>
      </c>
      <c r="BB31" s="129">
        <f t="shared" si="50"/>
        <v>638.7529925571378</v>
      </c>
      <c r="BC31" s="130">
        <f t="shared" si="51"/>
        <v>1326.1253913644016</v>
      </c>
      <c r="BD31" s="129">
        <f t="shared" si="52"/>
        <v>8553.443944340735</v>
      </c>
      <c r="BE31" s="129">
        <f t="shared" si="53"/>
        <v>638.753981696864</v>
      </c>
      <c r="BF31" s="130">
        <f t="shared" si="54"/>
        <v>42.83145248578501</v>
      </c>
      <c r="BG31" s="137">
        <f t="shared" si="55"/>
        <v>3.7002247787080886</v>
      </c>
      <c r="BH31" s="47"/>
      <c r="BI31" s="47"/>
      <c r="BJ31" s="47"/>
    </row>
    <row r="32" spans="1:62" ht="16.5" thickBot="1">
      <c r="A32" s="108">
        <f>IF(Data!A32&gt;0,Data!A32,"")</f>
        <v>12</v>
      </c>
      <c r="B32" s="109">
        <f>IF(A32&gt;0,IF(Data!$F$5="lb",Data!B32/2.204,Data!B32),"")</f>
        <v>111.57512491714283</v>
      </c>
      <c r="C32" s="109">
        <f>IF(A32&gt;0,Data!C32,"")</f>
        <v>1.2247956991195679</v>
      </c>
      <c r="D32" s="110">
        <f>IF(A32&gt;0,Data!D32,"")</f>
        <v>27.441654205322266</v>
      </c>
      <c r="E32" s="143">
        <f t="shared" si="3"/>
        <v>-0.3092174245339485</v>
      </c>
      <c r="F32" s="144">
        <f t="shared" si="4"/>
        <v>19.293004337474002</v>
      </c>
      <c r="G32" s="145">
        <f t="shared" si="5"/>
        <v>-8.761047717408047</v>
      </c>
      <c r="H32" s="111">
        <f>IF(A32&gt;0,IF(Data!$F$4="F",(Data!F32-32)/1.8,Data!F32),"")</f>
        <v>112.4725341796875</v>
      </c>
      <c r="I32" s="123">
        <f>IF(A32&gt;0,IF(Data!$F$4="F",(Data!G32-32)/1.8,Data!G32),"")</f>
        <v>27.215482923719616</v>
      </c>
      <c r="J32" s="136">
        <f t="shared" si="6"/>
        <v>0.9623421113775259</v>
      </c>
      <c r="K32" s="128">
        <f t="shared" si="7"/>
        <v>0.8672219352664179</v>
      </c>
      <c r="L32" s="128">
        <f t="shared" si="8"/>
        <v>0.8345641882171888</v>
      </c>
      <c r="M32" s="155">
        <f t="shared" si="9"/>
        <v>4.241028793907846</v>
      </c>
      <c r="N32" s="130">
        <f t="shared" si="10"/>
        <v>111.57512491714283</v>
      </c>
      <c r="O32" s="130">
        <f t="shared" si="11"/>
        <v>4.700211084567199</v>
      </c>
      <c r="P32" s="130">
        <f t="shared" si="12"/>
        <v>90.18617347052655</v>
      </c>
      <c r="Q32" s="130">
        <f t="shared" si="13"/>
        <v>4.7002110845672025</v>
      </c>
      <c r="R32" s="129">
        <f t="shared" si="37"/>
        <v>7239.150707513901</v>
      </c>
      <c r="S32" s="130">
        <f t="shared" si="14"/>
        <v>4.166666666666667</v>
      </c>
      <c r="T32" s="130">
        <f t="shared" si="15"/>
        <v>6.6</v>
      </c>
      <c r="U32" s="134">
        <f t="shared" si="38"/>
        <v>2.68125</v>
      </c>
      <c r="V32" s="130">
        <f t="shared" si="16"/>
        <v>19887</v>
      </c>
      <c r="W32" s="130">
        <f t="shared" si="17"/>
        <v>19.17</v>
      </c>
      <c r="X32" s="130">
        <f t="shared" si="18"/>
        <v>80.09459781296621</v>
      </c>
      <c r="Y32" s="130">
        <f t="shared" si="19"/>
        <v>21.245251409274857</v>
      </c>
      <c r="Z32" s="130">
        <f t="shared" si="20"/>
        <v>6.925637245297148</v>
      </c>
      <c r="AA32" s="130">
        <f t="shared" si="21"/>
        <v>22.473859007554683</v>
      </c>
      <c r="AB32" s="130">
        <f t="shared" si="22"/>
        <v>0.19037195096295179</v>
      </c>
      <c r="AC32" s="130">
        <f t="shared" si="23"/>
        <v>0.6891009059070663</v>
      </c>
      <c r="AD32" s="130">
        <f t="shared" si="24"/>
        <v>39.822403323067334</v>
      </c>
      <c r="AE32" s="130">
        <f t="shared" si="25"/>
        <v>-12.713737048242368</v>
      </c>
      <c r="AF32" s="130">
        <f t="shared" si="26"/>
        <v>1.7773822217043298</v>
      </c>
      <c r="AG32" s="130">
        <f t="shared" si="27"/>
        <v>0.2762613564008662</v>
      </c>
      <c r="AH32" s="130">
        <f t="shared" si="28"/>
        <v>116.23057976906499</v>
      </c>
      <c r="AI32" s="130">
        <f t="shared" si="29"/>
        <v>32.613306432926905</v>
      </c>
      <c r="AJ32" s="130">
        <f t="shared" si="30"/>
        <v>13.175906470369913</v>
      </c>
      <c r="AK32" s="130">
        <f t="shared" si="39"/>
        <v>385.6225341796875</v>
      </c>
      <c r="AL32" s="130">
        <f t="shared" si="31"/>
        <v>3366.5303693611836</v>
      </c>
      <c r="AM32" s="130">
        <f t="shared" si="32"/>
        <v>2546.5382666455744</v>
      </c>
      <c r="AN32" s="130">
        <f t="shared" si="33"/>
        <v>2479.5109097130617</v>
      </c>
      <c r="AO32" s="130">
        <f t="shared" si="34"/>
        <v>2451.3587249004127</v>
      </c>
      <c r="AP32" s="130">
        <f t="shared" si="35"/>
        <v>3212.371828733602</v>
      </c>
      <c r="AQ32" s="130">
        <f t="shared" si="36"/>
        <v>2968.1445964950694</v>
      </c>
      <c r="AR32" s="130">
        <f t="shared" si="40"/>
        <v>300.3654829237196</v>
      </c>
      <c r="AS32" s="130">
        <f t="shared" si="41"/>
        <v>134.0633301680559</v>
      </c>
      <c r="AT32" s="130">
        <f t="shared" si="42"/>
        <v>-32.37601790541874</v>
      </c>
      <c r="AU32" s="130">
        <f t="shared" si="43"/>
        <v>507.39376567621935</v>
      </c>
      <c r="AV32" s="130">
        <f t="shared" si="44"/>
        <v>284.92284581713085</v>
      </c>
      <c r="AW32" s="130">
        <f t="shared" si="45"/>
        <v>246.80315816703933</v>
      </c>
      <c r="AX32" s="130">
        <f t="shared" si="46"/>
        <v>1530.775479812093</v>
      </c>
      <c r="AY32" s="130">
        <f t="shared" si="47"/>
        <v>618.4394271896476</v>
      </c>
      <c r="AZ32" s="130">
        <f t="shared" si="48"/>
        <v>3290.0219889247674</v>
      </c>
      <c r="BA32" s="130">
        <f t="shared" si="49"/>
        <v>1197.6147739156745</v>
      </c>
      <c r="BB32" s="129">
        <f t="shared" si="50"/>
        <v>272.6106973102008</v>
      </c>
      <c r="BC32" s="130">
        <f t="shared" si="51"/>
        <v>925.0040766054738</v>
      </c>
      <c r="BD32" s="129">
        <f t="shared" si="52"/>
        <v>6041.535933598227</v>
      </c>
      <c r="BE32" s="129">
        <f t="shared" si="53"/>
        <v>272.6111310648632</v>
      </c>
      <c r="BF32" s="130">
        <f t="shared" si="54"/>
        <v>18.115787071838827</v>
      </c>
      <c r="BG32" s="137">
        <f t="shared" si="55"/>
        <v>1.6090089756307782</v>
      </c>
      <c r="BH32" s="47"/>
      <c r="BI32" s="47"/>
      <c r="BJ32" s="47"/>
    </row>
    <row r="33" spans="1:62" ht="16.5" thickBot="1">
      <c r="A33" s="108">
        <f>IF(Data!A33&gt;0,Data!A33,"")</f>
        <v>13</v>
      </c>
      <c r="B33" s="109">
        <f>IF(A33&gt;0,IF(Data!$F$5="lb",Data!B33/2.204,Data!B33),"")</f>
        <v>111.12064285416784</v>
      </c>
      <c r="C33" s="109">
        <f>IF(A33&gt;0,Data!C33,"")</f>
        <v>0.7974583506584167</v>
      </c>
      <c r="D33" s="110">
        <f>IF(A33&gt;0,Data!D33,"")</f>
        <v>27.441776275634766</v>
      </c>
      <c r="E33" s="143">
        <f t="shared" si="3"/>
        <v>-0.29876696884620135</v>
      </c>
      <c r="F33" s="144">
        <f t="shared" si="4"/>
        <v>19.317549466446067</v>
      </c>
      <c r="G33" s="145">
        <f t="shared" si="5"/>
        <v>-8.522955984517907</v>
      </c>
      <c r="H33" s="111">
        <f>IF(A33&gt;0,IF(Data!$F$4="F",(Data!F33-32)/1.8,Data!F33),"")</f>
        <v>113.28130933973524</v>
      </c>
      <c r="I33" s="123">
        <f>IF(A33&gt;0,IF(Data!$F$4="F",(Data!G33-32)/1.8,Data!G33),"")</f>
        <v>26.703978644476997</v>
      </c>
      <c r="J33" s="136">
        <f t="shared" si="6"/>
        <v>0.9747622204396141</v>
      </c>
      <c r="K33" s="128">
        <f t="shared" si="7"/>
        <v>0.8677311510467945</v>
      </c>
      <c r="L33" s="128">
        <f t="shared" si="8"/>
        <v>0.8458315435389957</v>
      </c>
      <c r="M33" s="155">
        <f t="shared" si="9"/>
        <v>4.324345412331799</v>
      </c>
      <c r="N33" s="130">
        <f t="shared" si="10"/>
        <v>111.12064285416784</v>
      </c>
      <c r="O33" s="130">
        <f t="shared" si="11"/>
        <v>5.088398368242937</v>
      </c>
      <c r="P33" s="130">
        <f t="shared" si="12"/>
        <v>89.81881561902387</v>
      </c>
      <c r="Q33" s="130">
        <f t="shared" si="13"/>
        <v>5.088398368242946</v>
      </c>
      <c r="R33" s="129">
        <f t="shared" si="37"/>
        <v>7767.715490488387</v>
      </c>
      <c r="S33" s="130">
        <f t="shared" si="14"/>
        <v>4.166666666666667</v>
      </c>
      <c r="T33" s="130">
        <f t="shared" si="15"/>
        <v>6.6</v>
      </c>
      <c r="U33" s="134">
        <f t="shared" si="38"/>
        <v>2.68125</v>
      </c>
      <c r="V33" s="130">
        <f t="shared" si="16"/>
        <v>19887</v>
      </c>
      <c r="W33" s="130">
        <f t="shared" si="17"/>
        <v>19.17</v>
      </c>
      <c r="X33" s="130">
        <f t="shared" si="18"/>
        <v>80.28372135822472</v>
      </c>
      <c r="Y33" s="130">
        <f t="shared" si="19"/>
        <v>21.29541680589515</v>
      </c>
      <c r="Z33" s="130">
        <f t="shared" si="20"/>
        <v>6.808239966343596</v>
      </c>
      <c r="AA33" s="130">
        <f t="shared" si="21"/>
        <v>22.210328088656926</v>
      </c>
      <c r="AB33" s="130">
        <f t="shared" si="22"/>
        <v>0.1284319001384695</v>
      </c>
      <c r="AC33" s="130">
        <f t="shared" si="23"/>
        <v>0.6774198766511879</v>
      </c>
      <c r="AD33" s="130">
        <f t="shared" si="24"/>
        <v>40.509257583779</v>
      </c>
      <c r="AE33" s="130">
        <f t="shared" si="25"/>
        <v>-12.581496761876808</v>
      </c>
      <c r="AF33" s="130">
        <f t="shared" si="26"/>
        <v>1.1771995156100774</v>
      </c>
      <c r="AG33" s="130">
        <f t="shared" si="27"/>
        <v>0.18958980178345244</v>
      </c>
      <c r="AH33" s="130">
        <f t="shared" si="28"/>
        <v>118.51397357146614</v>
      </c>
      <c r="AI33" s="130">
        <f t="shared" si="29"/>
        <v>32.78664954216173</v>
      </c>
      <c r="AJ33" s="130">
        <f t="shared" si="30"/>
        <v>13.175906470369913</v>
      </c>
      <c r="AK33" s="130">
        <f t="shared" si="39"/>
        <v>386.4313093397352</v>
      </c>
      <c r="AL33" s="130">
        <f t="shared" si="31"/>
        <v>3419.0371995098735</v>
      </c>
      <c r="AM33" s="130">
        <f t="shared" si="32"/>
        <v>2586.089438161355</v>
      </c>
      <c r="AN33" s="130">
        <f t="shared" si="33"/>
        <v>2517.980351666083</v>
      </c>
      <c r="AO33" s="130">
        <f t="shared" si="34"/>
        <v>2489.399926912155</v>
      </c>
      <c r="AP33" s="130">
        <f t="shared" si="35"/>
        <v>3262.8388284869056</v>
      </c>
      <c r="AQ33" s="130">
        <f t="shared" si="36"/>
        <v>3014.1822420534245</v>
      </c>
      <c r="AR33" s="130">
        <f t="shared" si="40"/>
        <v>299.85397864447697</v>
      </c>
      <c r="AS33" s="130">
        <f t="shared" si="41"/>
        <v>138.50265860346784</v>
      </c>
      <c r="AT33" s="130">
        <f t="shared" si="42"/>
        <v>-32.5368758921509</v>
      </c>
      <c r="AU33" s="130">
        <f t="shared" si="43"/>
        <v>336.10338777133967</v>
      </c>
      <c r="AV33" s="130">
        <f t="shared" si="44"/>
        <v>295.0286771468769</v>
      </c>
      <c r="AW33" s="130">
        <f t="shared" si="45"/>
        <v>169.38310056309507</v>
      </c>
      <c r="AX33" s="130">
        <f t="shared" si="46"/>
        <v>1540.4211305457222</v>
      </c>
      <c r="AY33" s="130">
        <f t="shared" si="47"/>
        <v>619.0460149016405</v>
      </c>
      <c r="AZ33" s="130">
        <f t="shared" si="48"/>
        <v>3065.9480936399914</v>
      </c>
      <c r="BA33" s="130">
        <f t="shared" si="49"/>
        <v>1197.536707396827</v>
      </c>
      <c r="BB33" s="129">
        <f t="shared" si="50"/>
        <v>196.03956850451323</v>
      </c>
      <c r="BC33" s="130">
        <f t="shared" si="51"/>
        <v>1001.4971388923138</v>
      </c>
      <c r="BD33" s="129">
        <f t="shared" si="52"/>
        <v>6570.17878309156</v>
      </c>
      <c r="BE33" s="129">
        <f t="shared" si="53"/>
        <v>196.03989123674043</v>
      </c>
      <c r="BF33" s="130">
        <f t="shared" si="54"/>
        <v>12.874552499542167</v>
      </c>
      <c r="BG33" s="137">
        <f t="shared" si="55"/>
        <v>1.184838047087602</v>
      </c>
      <c r="BH33" s="47"/>
      <c r="BI33" s="47"/>
      <c r="BJ33" s="47"/>
    </row>
    <row r="34" spans="1:62" ht="16.5" thickBot="1">
      <c r="A34" s="108">
        <f>IF(Data!A34&gt;0,Data!A34,"")</f>
        <v>14</v>
      </c>
      <c r="B34" s="109">
        <f>IF(A34&gt;0,IF(Data!$F$5="lb",Data!B34/2.204,Data!B34),"")</f>
        <v>110.6086703264129</v>
      </c>
      <c r="C34" s="109">
        <f>IF(A34&gt;0,Data!C34,"")</f>
        <v>0.5429163575172424</v>
      </c>
      <c r="D34" s="110">
        <f>IF(A34&gt;0,Data!D34,"")</f>
        <v>27.44168472290039</v>
      </c>
      <c r="E34" s="143">
        <f t="shared" si="3"/>
        <v>-0.2923864078835976</v>
      </c>
      <c r="F34" s="144">
        <f t="shared" si="4"/>
        <v>19.332179124007034</v>
      </c>
      <c r="G34" s="145">
        <f t="shared" si="5"/>
        <v>-8.380963777651978</v>
      </c>
      <c r="H34" s="111">
        <f>IF(A34&gt;0,IF(Data!$F$4="F",(Data!F34-32)/1.8,Data!F34),"")</f>
        <v>113.91523573133681</v>
      </c>
      <c r="I34" s="123">
        <f>IF(A34&gt;0,IF(Data!$F$4="F",(Data!G34-32)/1.8,Data!G34),"")</f>
        <v>26.57324896918403</v>
      </c>
      <c r="J34" s="136">
        <f t="shared" si="6"/>
        <v>0.9823657936008174</v>
      </c>
      <c r="K34" s="128">
        <f t="shared" si="7"/>
        <v>0.8680435260781723</v>
      </c>
      <c r="L34" s="128">
        <f t="shared" si="8"/>
        <v>0.8527362673758354</v>
      </c>
      <c r="M34" s="155">
        <f t="shared" si="9"/>
        <v>4.3753774256416715</v>
      </c>
      <c r="N34" s="130">
        <f t="shared" si="10"/>
        <v>110.6086703264129</v>
      </c>
      <c r="O34" s="130">
        <f t="shared" si="11"/>
        <v>5.525690048281643</v>
      </c>
      <c r="P34" s="130">
        <f t="shared" si="12"/>
        <v>89.40498822483956</v>
      </c>
      <c r="Q34" s="130">
        <f t="shared" si="13"/>
        <v>5.525690048281648</v>
      </c>
      <c r="R34" s="129">
        <f t="shared" si="37"/>
        <v>11146.434684323012</v>
      </c>
      <c r="S34" s="130">
        <f t="shared" si="14"/>
        <v>4.166666666666667</v>
      </c>
      <c r="T34" s="130">
        <f t="shared" si="15"/>
        <v>6.6</v>
      </c>
      <c r="U34" s="134">
        <f t="shared" si="38"/>
        <v>2.68125</v>
      </c>
      <c r="V34" s="130">
        <f t="shared" si="16"/>
        <v>19887</v>
      </c>
      <c r="W34" s="130">
        <f t="shared" si="17"/>
        <v>19.17</v>
      </c>
      <c r="X34" s="130">
        <f t="shared" si="18"/>
        <v>80.39636269723434</v>
      </c>
      <c r="Y34" s="130">
        <f t="shared" si="19"/>
        <v>21.325295145154996</v>
      </c>
      <c r="Z34" s="130">
        <f t="shared" si="20"/>
        <v>6.73827319927056</v>
      </c>
      <c r="AA34" s="130">
        <f t="shared" si="21"/>
        <v>22.05322705784011</v>
      </c>
      <c r="AB34" s="130">
        <f t="shared" si="22"/>
        <v>0.09153724987636735</v>
      </c>
      <c r="AC34" s="130">
        <f t="shared" si="23"/>
        <v>0.6704581833274207</v>
      </c>
      <c r="AD34" s="130">
        <f t="shared" si="24"/>
        <v>40.929748350165404</v>
      </c>
      <c r="AE34" s="130">
        <f t="shared" si="25"/>
        <v>-12.500352723055816</v>
      </c>
      <c r="AF34" s="130">
        <f t="shared" si="26"/>
        <v>0.8097691564040576</v>
      </c>
      <c r="AG34" s="130">
        <f t="shared" si="27"/>
        <v>0.13652939460307073</v>
      </c>
      <c r="AH34" s="130">
        <f t="shared" si="28"/>
        <v>119.91256829506469</v>
      </c>
      <c r="AI34" s="130">
        <f t="shared" si="29"/>
        <v>32.8927703565225</v>
      </c>
      <c r="AJ34" s="130">
        <f t="shared" si="30"/>
        <v>13.175906470369913</v>
      </c>
      <c r="AK34" s="130">
        <f t="shared" si="39"/>
        <v>387.06523573133677</v>
      </c>
      <c r="AL34" s="130">
        <f t="shared" si="31"/>
        <v>3449.8716146711145</v>
      </c>
      <c r="AM34" s="130">
        <f t="shared" si="32"/>
        <v>2609.127707789979</v>
      </c>
      <c r="AN34" s="130">
        <f t="shared" si="33"/>
        <v>2540.3423625031064</v>
      </c>
      <c r="AO34" s="130">
        <f t="shared" si="34"/>
        <v>2511.5226988203267</v>
      </c>
      <c r="AP34" s="130">
        <f t="shared" si="35"/>
        <v>3292.887018178855</v>
      </c>
      <c r="AQ34" s="130">
        <f t="shared" si="36"/>
        <v>3040.928934624047</v>
      </c>
      <c r="AR34" s="130">
        <f t="shared" si="40"/>
        <v>299.723248969184</v>
      </c>
      <c r="AS34" s="130">
        <f t="shared" si="41"/>
        <v>141.20237702886752</v>
      </c>
      <c r="AT34" s="130">
        <f t="shared" si="42"/>
        <v>-32.615016646872846</v>
      </c>
      <c r="AU34" s="130">
        <f t="shared" si="43"/>
        <v>231.2160937701151</v>
      </c>
      <c r="AV34" s="130">
        <f t="shared" si="44"/>
        <v>301.1631371468976</v>
      </c>
      <c r="AW34" s="130">
        <f t="shared" si="45"/>
        <v>121.9820356533793</v>
      </c>
      <c r="AX34" s="130">
        <f t="shared" si="46"/>
        <v>1546.2867969230313</v>
      </c>
      <c r="AY34" s="130">
        <f t="shared" si="47"/>
        <v>619.3984268213428</v>
      </c>
      <c r="AZ34" s="130">
        <f t="shared" si="48"/>
        <v>2928.6338506967604</v>
      </c>
      <c r="BA34" s="130">
        <f t="shared" si="49"/>
        <v>1641.4655770648583</v>
      </c>
      <c r="BB34" s="129">
        <f t="shared" si="50"/>
        <v>196.55819208195203</v>
      </c>
      <c r="BC34" s="130">
        <f t="shared" si="51"/>
        <v>1444.9073849829063</v>
      </c>
      <c r="BD34" s="129">
        <f t="shared" si="52"/>
        <v>9504.969107258154</v>
      </c>
      <c r="BE34" s="129">
        <f t="shared" si="53"/>
        <v>196.55852983835985</v>
      </c>
      <c r="BF34" s="130">
        <f t="shared" si="54"/>
        <v>12.708256263621506</v>
      </c>
      <c r="BG34" s="137">
        <f t="shared" si="55"/>
        <v>1.2243704767402148</v>
      </c>
      <c r="BH34" s="47"/>
      <c r="BI34" s="47"/>
      <c r="BJ34" s="47"/>
    </row>
    <row r="35" spans="1:62" ht="16.5" thickBot="1">
      <c r="A35" s="108">
        <f>IF(Data!A35&gt;0,Data!A35,"")</f>
        <v>15</v>
      </c>
      <c r="B35" s="109">
        <f>IF(A35&gt;0,IF(Data!$F$5="lb",Data!B35/2.204,Data!B35),"")</f>
        <v>109.73381000941114</v>
      </c>
      <c r="C35" s="109">
        <f>IF(A35&gt;0,Data!C35,"")</f>
        <v>0.47870177030563354</v>
      </c>
      <c r="D35" s="110">
        <f>IF(A35&gt;0,Data!D35,"")</f>
        <v>27.441776275634766</v>
      </c>
      <c r="E35" s="143">
        <f t="shared" si="3"/>
        <v>-0.2907612805956916</v>
      </c>
      <c r="F35" s="144">
        <f t="shared" si="4"/>
        <v>19.335863234177776</v>
      </c>
      <c r="G35" s="145">
        <f t="shared" si="5"/>
        <v>-8.345263926609807</v>
      </c>
      <c r="H35" s="111">
        <f>IF(A35&gt;0,IF(Data!$F$4="F",(Data!F35-32)/1.8,Data!F35),"")</f>
        <v>114.54892476399739</v>
      </c>
      <c r="I35" s="123">
        <f>IF(A35&gt;0,IF(Data!$F$4="F",(Data!G35-32)/1.8,Data!G35),"")</f>
        <v>26.771435207790798</v>
      </c>
      <c r="J35" s="136">
        <f t="shared" si="6"/>
        <v>0.9843090443589553</v>
      </c>
      <c r="K35" s="128">
        <f t="shared" si="7"/>
        <v>0.8680409977678212</v>
      </c>
      <c r="L35" s="128">
        <f t="shared" si="8"/>
        <v>0.854420604977238</v>
      </c>
      <c r="M35" s="155">
        <f t="shared" si="9"/>
        <v>4.388401731408324</v>
      </c>
      <c r="N35" s="130">
        <f t="shared" si="10"/>
        <v>109.73381000941114</v>
      </c>
      <c r="O35" s="130">
        <f t="shared" si="11"/>
        <v>6.2729354903339924</v>
      </c>
      <c r="P35" s="130">
        <f t="shared" si="12"/>
        <v>88.69783863060702</v>
      </c>
      <c r="Q35" s="130">
        <f t="shared" si="13"/>
        <v>6.272935490334007</v>
      </c>
      <c r="R35" s="129">
        <f t="shared" si="37"/>
        <v>10606.852338759236</v>
      </c>
      <c r="S35" s="130">
        <f t="shared" si="14"/>
        <v>4.166666666666667</v>
      </c>
      <c r="T35" s="130">
        <f t="shared" si="15"/>
        <v>6.6</v>
      </c>
      <c r="U35" s="134">
        <f t="shared" si="38"/>
        <v>2.68125</v>
      </c>
      <c r="V35" s="130">
        <f t="shared" si="16"/>
        <v>19887</v>
      </c>
      <c r="W35" s="130">
        <f t="shared" si="17"/>
        <v>19.17</v>
      </c>
      <c r="X35" s="130">
        <f t="shared" si="18"/>
        <v>80.4247858806694</v>
      </c>
      <c r="Y35" s="130">
        <f t="shared" si="19"/>
        <v>21.332834451105942</v>
      </c>
      <c r="Z35" s="130">
        <f t="shared" si="20"/>
        <v>6.720649893559748</v>
      </c>
      <c r="AA35" s="130">
        <f t="shared" si="21"/>
        <v>22.0136849609634</v>
      </c>
      <c r="AB35" s="130">
        <f t="shared" si="22"/>
        <v>0.08222984389188426</v>
      </c>
      <c r="AC35" s="130">
        <f t="shared" si="23"/>
        <v>0.668704664409195</v>
      </c>
      <c r="AD35" s="130">
        <f t="shared" si="24"/>
        <v>41.03721378985708</v>
      </c>
      <c r="AE35" s="130">
        <f t="shared" si="25"/>
        <v>-12.479745350636822</v>
      </c>
      <c r="AF35" s="130">
        <f t="shared" si="26"/>
        <v>0.7158642608371362</v>
      </c>
      <c r="AG35" s="130">
        <f t="shared" si="27"/>
        <v>0.12296885047831224</v>
      </c>
      <c r="AH35" s="130">
        <f t="shared" si="28"/>
        <v>120.26951531992863</v>
      </c>
      <c r="AI35" s="130">
        <f t="shared" si="29"/>
        <v>32.91989144477201</v>
      </c>
      <c r="AJ35" s="130">
        <f t="shared" si="30"/>
        <v>13.175906470369913</v>
      </c>
      <c r="AK35" s="130">
        <f t="shared" si="39"/>
        <v>387.69892476399735</v>
      </c>
      <c r="AL35" s="130">
        <f t="shared" si="31"/>
        <v>3468.132081498193</v>
      </c>
      <c r="AM35" s="130">
        <f t="shared" si="32"/>
        <v>2622.4658756415893</v>
      </c>
      <c r="AN35" s="130">
        <f t="shared" si="33"/>
        <v>2553.2134204306476</v>
      </c>
      <c r="AO35" s="130">
        <f t="shared" si="34"/>
        <v>2524.2719627183387</v>
      </c>
      <c r="AP35" s="130">
        <f t="shared" si="35"/>
        <v>3311.350500642334</v>
      </c>
      <c r="AQ35" s="130">
        <f t="shared" si="36"/>
        <v>3056.2996578806606</v>
      </c>
      <c r="AR35" s="130">
        <f t="shared" si="40"/>
        <v>299.92143520779075</v>
      </c>
      <c r="AS35" s="130">
        <f t="shared" si="41"/>
        <v>142.3224776799034</v>
      </c>
      <c r="AT35" s="130">
        <f t="shared" si="42"/>
        <v>-32.727706318741845</v>
      </c>
      <c r="AU35" s="130">
        <f t="shared" si="43"/>
        <v>204.41232900505972</v>
      </c>
      <c r="AV35" s="130">
        <f t="shared" si="44"/>
        <v>303.59296549181954</v>
      </c>
      <c r="AW35" s="130">
        <f t="shared" si="45"/>
        <v>109.8686530309673</v>
      </c>
      <c r="AX35" s="130">
        <f t="shared" si="46"/>
        <v>1548.0677598953057</v>
      </c>
      <c r="AY35" s="130">
        <f t="shared" si="47"/>
        <v>619.6009500333539</v>
      </c>
      <c r="AZ35" s="130">
        <f t="shared" si="48"/>
        <v>2895.1374288176676</v>
      </c>
      <c r="BA35" s="130">
        <f t="shared" si="49"/>
        <v>1544.1391465723375</v>
      </c>
      <c r="BB35" s="129">
        <f t="shared" si="50"/>
        <v>166.43135861806365</v>
      </c>
      <c r="BC35" s="130">
        <f t="shared" si="51"/>
        <v>1377.707787954274</v>
      </c>
      <c r="BD35" s="129">
        <f t="shared" si="52"/>
        <v>9062.713192186899</v>
      </c>
      <c r="BE35" s="129">
        <f t="shared" si="53"/>
        <v>166.43164953858252</v>
      </c>
      <c r="BF35" s="130">
        <f t="shared" si="54"/>
        <v>10.690695542829326</v>
      </c>
      <c r="BG35" s="137">
        <f t="shared" si="55"/>
        <v>1.04937894245722</v>
      </c>
      <c r="BH35" s="47"/>
      <c r="BI35" s="47"/>
      <c r="BJ35" s="47"/>
    </row>
    <row r="36" spans="1:62" ht="16.5" thickBot="1">
      <c r="A36" s="108">
        <f>IF(Data!A36&gt;0,Data!A36,"")</f>
        <v>16</v>
      </c>
      <c r="B36" s="109">
        <f>IF(A36&gt;0,IF(Data!$F$5="lb",Data!B36/2.204,Data!B36),"")</f>
        <v>109.2889719995959</v>
      </c>
      <c r="C36" s="109">
        <f>IF(A36&gt;0,Data!C36,"")</f>
        <v>0.48267632722854614</v>
      </c>
      <c r="D36" s="110">
        <f>IF(A36&gt;0,Data!D36,"")</f>
        <v>27.44174575805664</v>
      </c>
      <c r="E36" s="143">
        <f t="shared" si="3"/>
        <v>-0.2908614533192535</v>
      </c>
      <c r="F36" s="144">
        <f t="shared" si="4"/>
        <v>19.335636634242473</v>
      </c>
      <c r="G36" s="145">
        <f t="shared" si="5"/>
        <v>-8.34744728742844</v>
      </c>
      <c r="H36" s="111">
        <f>IF(A36&gt;0,IF(Data!$F$4="F",(Data!F36-32)/1.8,Data!F36),"")</f>
        <v>115.20787556966145</v>
      </c>
      <c r="I36" s="123">
        <f>IF(A36&gt;0,IF(Data!$F$4="F",(Data!G36-32)/1.8,Data!G36),"")</f>
        <v>26.867039998372395</v>
      </c>
      <c r="J36" s="136">
        <f t="shared" si="6"/>
        <v>0.9841884599171163</v>
      </c>
      <c r="K36" s="128">
        <f t="shared" si="7"/>
        <v>0.8678462012421828</v>
      </c>
      <c r="L36" s="128">
        <f t="shared" si="8"/>
        <v>0.8541242162454639</v>
      </c>
      <c r="M36" s="155">
        <f t="shared" si="9"/>
        <v>4.3875974320439886</v>
      </c>
      <c r="N36" s="130">
        <f t="shared" si="10"/>
        <v>109.2889719995959</v>
      </c>
      <c r="O36" s="130">
        <f t="shared" si="11"/>
        <v>6.652885487866467</v>
      </c>
      <c r="P36" s="130">
        <f t="shared" si="12"/>
        <v>88.33827606727337</v>
      </c>
      <c r="Q36" s="130">
        <f t="shared" si="13"/>
        <v>6.652885487866474</v>
      </c>
      <c r="R36" s="129">
        <f t="shared" si="37"/>
        <v>7067.599467813777</v>
      </c>
      <c r="S36" s="130">
        <f t="shared" si="14"/>
        <v>4.166666666666667</v>
      </c>
      <c r="T36" s="130">
        <f t="shared" si="15"/>
        <v>6.6</v>
      </c>
      <c r="U36" s="134">
        <f t="shared" si="38"/>
        <v>2.68125</v>
      </c>
      <c r="V36" s="130">
        <f t="shared" si="16"/>
        <v>19887</v>
      </c>
      <c r="W36" s="130">
        <f t="shared" si="17"/>
        <v>19.17</v>
      </c>
      <c r="X36" s="130">
        <f t="shared" si="18"/>
        <v>80.42302520214325</v>
      </c>
      <c r="Y36" s="130">
        <f t="shared" si="19"/>
        <v>21.332367427624206</v>
      </c>
      <c r="Z36" s="130">
        <f t="shared" si="20"/>
        <v>6.721734712456743</v>
      </c>
      <c r="AA36" s="130">
        <f t="shared" si="21"/>
        <v>22.016112784538095</v>
      </c>
      <c r="AB36" s="130">
        <f t="shared" si="22"/>
        <v>0.08280588328457839</v>
      </c>
      <c r="AC36" s="130">
        <f t="shared" si="23"/>
        <v>0.668812603889446</v>
      </c>
      <c r="AD36" s="130">
        <f t="shared" si="24"/>
        <v>41.03054517583932</v>
      </c>
      <c r="AE36" s="130">
        <f t="shared" si="25"/>
        <v>-12.48099578100694</v>
      </c>
      <c r="AF36" s="130">
        <f t="shared" si="26"/>
        <v>0.7216914340752048</v>
      </c>
      <c r="AG36" s="130">
        <f t="shared" si="27"/>
        <v>0.12381029125800702</v>
      </c>
      <c r="AH36" s="130">
        <f t="shared" si="28"/>
        <v>120.24747251240063</v>
      </c>
      <c r="AI36" s="130">
        <f t="shared" si="29"/>
        <v>32.91820856321262</v>
      </c>
      <c r="AJ36" s="130">
        <f t="shared" si="30"/>
        <v>13.175906470369913</v>
      </c>
      <c r="AK36" s="130">
        <f t="shared" si="39"/>
        <v>388.3578755696614</v>
      </c>
      <c r="AL36" s="130">
        <f t="shared" si="31"/>
        <v>3491.356703576016</v>
      </c>
      <c r="AM36" s="130">
        <f t="shared" si="32"/>
        <v>2639.596526794444</v>
      </c>
      <c r="AN36" s="130">
        <f t="shared" si="33"/>
        <v>2569.7862984246212</v>
      </c>
      <c r="AO36" s="130">
        <f t="shared" si="34"/>
        <v>2540.679095126689</v>
      </c>
      <c r="AP36" s="130">
        <f t="shared" si="35"/>
        <v>3334.4688002099588</v>
      </c>
      <c r="AQ36" s="130">
        <f t="shared" si="36"/>
        <v>3076.1046194356354</v>
      </c>
      <c r="AR36" s="130">
        <f t="shared" si="40"/>
        <v>300.01703999837235</v>
      </c>
      <c r="AS36" s="130">
        <f t="shared" si="41"/>
        <v>143.25226895104518</v>
      </c>
      <c r="AT36" s="130">
        <f t="shared" si="42"/>
        <v>-32.944793114482025</v>
      </c>
      <c r="AU36" s="130">
        <f t="shared" si="43"/>
        <v>206.08821676222132</v>
      </c>
      <c r="AV36" s="130">
        <f t="shared" si="44"/>
        <v>305.51023965407745</v>
      </c>
      <c r="AW36" s="130">
        <f t="shared" si="45"/>
        <v>110.62331517840722</v>
      </c>
      <c r="AX36" s="130">
        <f t="shared" si="46"/>
        <v>1548.6405657407402</v>
      </c>
      <c r="AY36" s="130">
        <f t="shared" si="47"/>
        <v>619.8618983544516</v>
      </c>
      <c r="AZ36" s="130">
        <f t="shared" si="48"/>
        <v>2901.031711526461</v>
      </c>
      <c r="BA36" s="130">
        <f t="shared" si="49"/>
        <v>1030.9916116304776</v>
      </c>
      <c r="BB36" s="129">
        <f t="shared" si="50"/>
        <v>111.74943716737226</v>
      </c>
      <c r="BC36" s="130">
        <f t="shared" si="51"/>
        <v>919.2421744631054</v>
      </c>
      <c r="BD36" s="129">
        <f t="shared" si="52"/>
        <v>6036.607856183299</v>
      </c>
      <c r="BE36" s="129">
        <f t="shared" si="53"/>
        <v>111.74963227510462</v>
      </c>
      <c r="BF36" s="130">
        <f t="shared" si="54"/>
        <v>7.181451595066074</v>
      </c>
      <c r="BG36" s="137">
        <f t="shared" si="55"/>
        <v>0.7040109004716321</v>
      </c>
      <c r="BH36" s="47"/>
      <c r="BI36" s="47"/>
      <c r="BJ36" s="47"/>
    </row>
    <row r="37" spans="1:62" ht="16.5" thickBot="1">
      <c r="A37" s="108">
        <f>IF(Data!A37&gt;0,Data!A37,"")</f>
        <v>17</v>
      </c>
      <c r="B37" s="109">
        <f>IF(A37&gt;0,IF(Data!$F$5="lb",Data!B37/2.204,Data!B37),"")</f>
        <v>108.8544634422676</v>
      </c>
      <c r="C37" s="109">
        <f>IF(A37&gt;0,Data!C37,"")</f>
        <v>0.5034634470939636</v>
      </c>
      <c r="D37" s="110">
        <f>IF(A37&gt;0,Data!D37,"")</f>
        <v>27.44168472290039</v>
      </c>
      <c r="E37" s="143">
        <f t="shared" si="3"/>
        <v>-0.2913874002743254</v>
      </c>
      <c r="F37" s="144">
        <f t="shared" si="4"/>
        <v>19.3344458425075</v>
      </c>
      <c r="G37" s="145">
        <f t="shared" si="5"/>
        <v>-8.358970603939873</v>
      </c>
      <c r="H37" s="111">
        <f>IF(A37&gt;0,IF(Data!$F$4="F",(Data!F37-32)/1.8,Data!F37),"")</f>
        <v>115.43084038628471</v>
      </c>
      <c r="I37" s="123">
        <f>IF(A37&gt;0,IF(Data!$F$4="F",(Data!G37-32)/1.8,Data!G37),"")</f>
        <v>26.991945902506508</v>
      </c>
      <c r="J37" s="136">
        <f t="shared" si="6"/>
        <v>0.9835584780153435</v>
      </c>
      <c r="K37" s="128">
        <f t="shared" si="7"/>
        <v>0.8677666823525232</v>
      </c>
      <c r="L37" s="128">
        <f t="shared" si="8"/>
        <v>0.8534992773670718</v>
      </c>
      <c r="M37" s="155">
        <f t="shared" si="9"/>
        <v>4.383380002667163</v>
      </c>
      <c r="N37" s="130">
        <f t="shared" si="10"/>
        <v>108.8544634422676</v>
      </c>
      <c r="O37" s="130">
        <f t="shared" si="11"/>
        <v>7.0240127783452975</v>
      </c>
      <c r="P37" s="130">
        <f t="shared" si="12"/>
        <v>87.9870628003849</v>
      </c>
      <c r="Q37" s="130">
        <f t="shared" si="13"/>
        <v>7.024012778345304</v>
      </c>
      <c r="R37" s="129">
        <f t="shared" si="37"/>
        <v>11431.500205238732</v>
      </c>
      <c r="S37" s="130">
        <f t="shared" si="14"/>
        <v>4.166666666666667</v>
      </c>
      <c r="T37" s="130">
        <f t="shared" si="15"/>
        <v>6.6</v>
      </c>
      <c r="U37" s="134">
        <f t="shared" si="38"/>
        <v>2.68125</v>
      </c>
      <c r="V37" s="130">
        <f t="shared" si="16"/>
        <v>19887</v>
      </c>
      <c r="W37" s="130">
        <f t="shared" si="17"/>
        <v>19.17</v>
      </c>
      <c r="X37" s="130">
        <f t="shared" si="18"/>
        <v>80.41382243394551</v>
      </c>
      <c r="Y37" s="130">
        <f t="shared" si="19"/>
        <v>21.32992637505186</v>
      </c>
      <c r="Z37" s="130">
        <f t="shared" si="20"/>
        <v>6.727432063719145</v>
      </c>
      <c r="AA37" s="130">
        <f t="shared" si="21"/>
        <v>22.028888285935672</v>
      </c>
      <c r="AB37" s="130">
        <f t="shared" si="22"/>
        <v>0.08581876216875273</v>
      </c>
      <c r="AC37" s="130">
        <f t="shared" si="23"/>
        <v>0.669379490340055</v>
      </c>
      <c r="AD37" s="130">
        <f t="shared" si="24"/>
        <v>40.995705902132734</v>
      </c>
      <c r="AE37" s="130">
        <f t="shared" si="25"/>
        <v>-12.487640754713578</v>
      </c>
      <c r="AF37" s="130">
        <f t="shared" si="26"/>
        <v>0.7521345579892156</v>
      </c>
      <c r="AG37" s="130">
        <f t="shared" si="27"/>
        <v>0.12820644105058476</v>
      </c>
      <c r="AH37" s="130">
        <f t="shared" si="28"/>
        <v>120.13188870351266</v>
      </c>
      <c r="AI37" s="130">
        <f t="shared" si="29"/>
        <v>32.90941626362747</v>
      </c>
      <c r="AJ37" s="130">
        <f t="shared" si="30"/>
        <v>13.175906470369913</v>
      </c>
      <c r="AK37" s="130">
        <f t="shared" si="39"/>
        <v>388.5808403862847</v>
      </c>
      <c r="AL37" s="130">
        <f t="shared" si="31"/>
        <v>3495.6782295157454</v>
      </c>
      <c r="AM37" s="130">
        <f t="shared" si="32"/>
        <v>2642.6649402778044</v>
      </c>
      <c r="AN37" s="130">
        <f t="shared" si="33"/>
        <v>2572.724921078854</v>
      </c>
      <c r="AO37" s="130">
        <f t="shared" si="34"/>
        <v>2543.5946381830995</v>
      </c>
      <c r="AP37" s="130">
        <f t="shared" si="35"/>
        <v>3339.0315111145746</v>
      </c>
      <c r="AQ37" s="130">
        <f t="shared" si="36"/>
        <v>3079.606797044197</v>
      </c>
      <c r="AR37" s="130">
        <f t="shared" si="40"/>
        <v>300.1419459025065</v>
      </c>
      <c r="AS37" s="130">
        <f t="shared" si="41"/>
        <v>143.30779662571555</v>
      </c>
      <c r="AT37" s="130">
        <f t="shared" si="42"/>
        <v>-33.00065040926583</v>
      </c>
      <c r="AU37" s="130">
        <f t="shared" si="43"/>
        <v>214.78385029038554</v>
      </c>
      <c r="AV37" s="130">
        <f t="shared" si="44"/>
        <v>305.5668279810637</v>
      </c>
      <c r="AW37" s="130">
        <f t="shared" si="45"/>
        <v>114.55181808642008</v>
      </c>
      <c r="AX37" s="130">
        <f t="shared" si="46"/>
        <v>1548.3421857076603</v>
      </c>
      <c r="AY37" s="130">
        <f t="shared" si="47"/>
        <v>619.9080427190645</v>
      </c>
      <c r="AZ37" s="130">
        <f t="shared" si="48"/>
        <v>2913.459871001044</v>
      </c>
      <c r="BA37" s="130">
        <f t="shared" si="49"/>
        <v>1674.7230408459418</v>
      </c>
      <c r="BB37" s="129">
        <f t="shared" si="50"/>
        <v>187.9509357133629</v>
      </c>
      <c r="BC37" s="130">
        <f t="shared" si="51"/>
        <v>1486.7721051325789</v>
      </c>
      <c r="BD37" s="129">
        <f t="shared" si="52"/>
        <v>9756.77716439279</v>
      </c>
      <c r="BE37" s="129">
        <f t="shared" si="53"/>
        <v>187.95126194203937</v>
      </c>
      <c r="BF37" s="130">
        <f t="shared" si="54"/>
        <v>12.105633726182134</v>
      </c>
      <c r="BG37" s="137">
        <f t="shared" si="55"/>
        <v>1.1791356823514352</v>
      </c>
      <c r="BH37" s="47"/>
      <c r="BI37" s="47"/>
      <c r="BJ37" s="47"/>
    </row>
    <row r="38" spans="1:62" ht="16.5" thickBot="1">
      <c r="A38" s="108">
        <f>IF(Data!A38&gt;0,Data!A38,"")</f>
        <v>18</v>
      </c>
      <c r="B38" s="109">
        <f>IF(A38&gt;0,IF(Data!$F$5="lb",Data!B38/2.204,Data!B38),"")</f>
        <v>107.86667147046208</v>
      </c>
      <c r="C38" s="109">
        <f>IF(A38&gt;0,Data!C38,"")</f>
        <v>0.5216537714004517</v>
      </c>
      <c r="D38" s="110">
        <f>IF(A38&gt;0,Data!D38,"")</f>
        <v>27.441898345947266</v>
      </c>
      <c r="E38" s="143">
        <f t="shared" si="3"/>
        <v>-0.29185376695494436</v>
      </c>
      <c r="F38" s="144">
        <f t="shared" si="4"/>
        <v>19.333388466321562</v>
      </c>
      <c r="G38" s="145">
        <f t="shared" si="5"/>
        <v>-8.36933676532593</v>
      </c>
      <c r="H38" s="111">
        <f>IF(A38&gt;0,IF(Data!$F$4="F",(Data!F38-32)/1.8,Data!F38),"")</f>
        <v>115.48457675509982</v>
      </c>
      <c r="I38" s="123">
        <f>IF(A38&gt;0,IF(Data!$F$4="F",(Data!G38-32)/1.8,Data!G38),"")</f>
        <v>26.986770629882812</v>
      </c>
      <c r="J38" s="136">
        <f t="shared" si="6"/>
        <v>0.9830082023248202</v>
      </c>
      <c r="K38" s="128">
        <f t="shared" si="7"/>
        <v>0.8677072352424912</v>
      </c>
      <c r="L38" s="128">
        <f t="shared" si="8"/>
        <v>0.8529633294599611</v>
      </c>
      <c r="M38" s="155">
        <f t="shared" si="9"/>
        <v>4.379654358915429</v>
      </c>
      <c r="N38" s="130">
        <f t="shared" si="10"/>
        <v>107.86667147046208</v>
      </c>
      <c r="O38" s="130">
        <f t="shared" si="11"/>
        <v>7.867716663734914</v>
      </c>
      <c r="P38" s="130">
        <f t="shared" si="12"/>
        <v>87.1886305495745</v>
      </c>
      <c r="Q38" s="130">
        <f t="shared" si="13"/>
        <v>7.867716663734924</v>
      </c>
      <c r="R38" s="129">
        <f t="shared" si="37"/>
        <v>11522.812428510912</v>
      </c>
      <c r="S38" s="130">
        <f t="shared" si="14"/>
        <v>4.166666666666667</v>
      </c>
      <c r="T38" s="130">
        <f t="shared" si="15"/>
        <v>6.6</v>
      </c>
      <c r="U38" s="134">
        <f t="shared" si="38"/>
        <v>2.68125</v>
      </c>
      <c r="V38" s="130">
        <f t="shared" si="16"/>
        <v>19887</v>
      </c>
      <c r="W38" s="130">
        <f t="shared" si="17"/>
        <v>19.17</v>
      </c>
      <c r="X38" s="130">
        <f t="shared" si="18"/>
        <v>80.40578464797821</v>
      </c>
      <c r="Y38" s="130">
        <f t="shared" si="19"/>
        <v>21.327794336333742</v>
      </c>
      <c r="Z38" s="130">
        <f t="shared" si="20"/>
        <v>6.7324818788663565</v>
      </c>
      <c r="AA38" s="130">
        <f t="shared" si="21"/>
        <v>22.04027877773477</v>
      </c>
      <c r="AB38" s="130">
        <f t="shared" si="22"/>
        <v>0.08845571126210316</v>
      </c>
      <c r="AC38" s="130">
        <f t="shared" si="23"/>
        <v>0.6698819469472025</v>
      </c>
      <c r="AD38" s="130">
        <f t="shared" si="24"/>
        <v>40.96527525634323</v>
      </c>
      <c r="AE38" s="130">
        <f t="shared" si="25"/>
        <v>-12.493748791808489</v>
      </c>
      <c r="AF38" s="130">
        <f t="shared" si="26"/>
        <v>0.77872492873967</v>
      </c>
      <c r="AG38" s="130">
        <f t="shared" si="27"/>
        <v>0.132046716089626</v>
      </c>
      <c r="AH38" s="130">
        <f t="shared" si="28"/>
        <v>120.02978288100587</v>
      </c>
      <c r="AI38" s="130">
        <f t="shared" si="29"/>
        <v>32.90173571354939</v>
      </c>
      <c r="AJ38" s="130">
        <f t="shared" si="30"/>
        <v>13.175906470369913</v>
      </c>
      <c r="AK38" s="130">
        <f t="shared" si="39"/>
        <v>388.63457675509983</v>
      </c>
      <c r="AL38" s="130">
        <f t="shared" si="31"/>
        <v>3498.069113838382</v>
      </c>
      <c r="AM38" s="130">
        <f t="shared" si="32"/>
        <v>2644.444632890226</v>
      </c>
      <c r="AN38" s="130">
        <f t="shared" si="33"/>
        <v>2574.450718836491</v>
      </c>
      <c r="AO38" s="130">
        <f t="shared" si="34"/>
        <v>2545.302320703019</v>
      </c>
      <c r="AP38" s="130">
        <f t="shared" si="35"/>
        <v>3341.376065572344</v>
      </c>
      <c r="AQ38" s="130">
        <f t="shared" si="36"/>
        <v>3081.670457990127</v>
      </c>
      <c r="AR38" s="130">
        <f t="shared" si="40"/>
        <v>300.1367706298828</v>
      </c>
      <c r="AS38" s="130">
        <f t="shared" si="41"/>
        <v>143.29936411410196</v>
      </c>
      <c r="AT38" s="130">
        <f t="shared" si="42"/>
        <v>-33.0390269371767</v>
      </c>
      <c r="AU38" s="130">
        <f t="shared" si="43"/>
        <v>222.3784927113952</v>
      </c>
      <c r="AV38" s="130">
        <f t="shared" si="44"/>
        <v>305.5120849205038</v>
      </c>
      <c r="AW38" s="130">
        <f t="shared" si="45"/>
        <v>117.98339434415645</v>
      </c>
      <c r="AX38" s="130">
        <f t="shared" si="46"/>
        <v>1548.0487245540971</v>
      </c>
      <c r="AY38" s="130">
        <f t="shared" si="47"/>
        <v>619.9352333226747</v>
      </c>
      <c r="AZ38" s="130">
        <f t="shared" si="48"/>
        <v>2924.1182670297526</v>
      </c>
      <c r="BA38" s="130">
        <f t="shared" si="49"/>
        <v>1694.275974745624</v>
      </c>
      <c r="BB38" s="129">
        <f t="shared" si="50"/>
        <v>195.79295922053922</v>
      </c>
      <c r="BC38" s="130">
        <f t="shared" si="51"/>
        <v>1498.4830155250847</v>
      </c>
      <c r="BD38" s="129">
        <f t="shared" si="52"/>
        <v>9828.536453765288</v>
      </c>
      <c r="BE38" s="129">
        <f t="shared" si="53"/>
        <v>195.7932974343057</v>
      </c>
      <c r="BF38" s="130">
        <f t="shared" si="54"/>
        <v>12.633722333365355</v>
      </c>
      <c r="BG38" s="137">
        <f t="shared" si="55"/>
        <v>1.2241561150915425</v>
      </c>
      <c r="BH38" s="47"/>
      <c r="BI38" s="47"/>
      <c r="BJ38" s="47"/>
    </row>
    <row r="39" spans="1:62" ht="16.5" thickBot="1">
      <c r="A39" s="108">
        <f>IF(Data!A39&gt;0,Data!A39,"")</f>
        <v>19</v>
      </c>
      <c r="B39" s="109">
        <f>IF(A39&gt;0,IF(Data!$F$5="lb",Data!B39/2.204,Data!B39),"")</f>
        <v>107.42080190004323</v>
      </c>
      <c r="C39" s="109">
        <f>IF(A39&gt;0,Data!C39,"")</f>
        <v>0.6344529390335083</v>
      </c>
      <c r="D39" s="110">
        <f>IF(A39&gt;0,Data!D39,"")</f>
        <v>27.44168472290039</v>
      </c>
      <c r="E39" s="143">
        <f t="shared" si="3"/>
        <v>-0.2946934392152113</v>
      </c>
      <c r="F39" s="144">
        <f t="shared" si="4"/>
        <v>19.32692000216871</v>
      </c>
      <c r="G39" s="145">
        <f t="shared" si="5"/>
        <v>-8.431991190248436</v>
      </c>
      <c r="H39" s="111">
        <f>IF(A39&gt;0,IF(Data!$F$4="F",(Data!F39-32)/1.8,Data!F39),"")</f>
        <v>115.8512963189019</v>
      </c>
      <c r="I39" s="123">
        <f>IF(A39&gt;0,IF(Data!$F$4="F",(Data!G39-32)/1.8,Data!G39),"")</f>
        <v>26.820619371202255</v>
      </c>
      <c r="J39" s="136">
        <f t="shared" si="6"/>
        <v>0.9796133162748102</v>
      </c>
      <c r="K39" s="128">
        <f t="shared" si="7"/>
        <v>0.8672839989107908</v>
      </c>
      <c r="L39" s="128">
        <f t="shared" si="8"/>
        <v>0.8496029543250786</v>
      </c>
      <c r="M39" s="155">
        <f t="shared" si="9"/>
        <v>4.356909076811064</v>
      </c>
      <c r="N39" s="130">
        <f t="shared" si="10"/>
        <v>107.42080190004323</v>
      </c>
      <c r="O39" s="130">
        <f t="shared" si="11"/>
        <v>8.248547749304262</v>
      </c>
      <c r="P39" s="130">
        <f t="shared" si="12"/>
        <v>86.82823417580495</v>
      </c>
      <c r="Q39" s="130">
        <f t="shared" si="13"/>
        <v>8.248547749304262</v>
      </c>
      <c r="R39" s="129">
        <f t="shared" si="37"/>
        <v>10662.218372979565</v>
      </c>
      <c r="S39" s="130">
        <f t="shared" si="14"/>
        <v>4.166666666666667</v>
      </c>
      <c r="T39" s="130">
        <f t="shared" si="15"/>
        <v>6.6</v>
      </c>
      <c r="U39" s="134">
        <f t="shared" si="38"/>
        <v>2.68125</v>
      </c>
      <c r="V39" s="130">
        <f t="shared" si="16"/>
        <v>19887</v>
      </c>
      <c r="W39" s="130">
        <f t="shared" si="17"/>
        <v>19.17</v>
      </c>
      <c r="X39" s="130">
        <f t="shared" si="18"/>
        <v>80.35585352831454</v>
      </c>
      <c r="Y39" s="130">
        <f t="shared" si="19"/>
        <v>21.314550007510487</v>
      </c>
      <c r="Z39" s="130">
        <f t="shared" si="20"/>
        <v>6.763426235573435</v>
      </c>
      <c r="AA39" s="130">
        <f t="shared" si="21"/>
        <v>22.109696604814832</v>
      </c>
      <c r="AB39" s="130">
        <f t="shared" si="22"/>
        <v>0.10480498628875168</v>
      </c>
      <c r="AC39" s="130">
        <f t="shared" si="23"/>
        <v>0.6729609104395569</v>
      </c>
      <c r="AD39" s="130">
        <f t="shared" si="24"/>
        <v>40.77753149878549</v>
      </c>
      <c r="AE39" s="130">
        <f t="shared" si="25"/>
        <v>-12.52968940609184</v>
      </c>
      <c r="AF39" s="130">
        <f t="shared" si="26"/>
        <v>0.9427782939414767</v>
      </c>
      <c r="AG39" s="130">
        <f t="shared" si="27"/>
        <v>0.15573710844556538</v>
      </c>
      <c r="AH39" s="130">
        <f t="shared" si="28"/>
        <v>119.40642061338842</v>
      </c>
      <c r="AI39" s="130">
        <f t="shared" si="29"/>
        <v>32.85435492883751</v>
      </c>
      <c r="AJ39" s="130">
        <f t="shared" si="30"/>
        <v>13.175906470369913</v>
      </c>
      <c r="AK39" s="130">
        <f t="shared" si="39"/>
        <v>389.0012963189019</v>
      </c>
      <c r="AL39" s="130">
        <f t="shared" si="31"/>
        <v>3519.390919786777</v>
      </c>
      <c r="AM39" s="130">
        <f t="shared" si="32"/>
        <v>2660.4479522465876</v>
      </c>
      <c r="AN39" s="130">
        <f t="shared" si="33"/>
        <v>2590.0022281985794</v>
      </c>
      <c r="AO39" s="130">
        <f t="shared" si="34"/>
        <v>2560.6836761701657</v>
      </c>
      <c r="AP39" s="130">
        <f t="shared" si="35"/>
        <v>3361.9954433525763</v>
      </c>
      <c r="AQ39" s="130">
        <f t="shared" si="36"/>
        <v>3100.276976572217</v>
      </c>
      <c r="AR39" s="130">
        <f t="shared" si="40"/>
        <v>299.97061937120225</v>
      </c>
      <c r="AS39" s="130">
        <f t="shared" si="41"/>
        <v>143.51207408814494</v>
      </c>
      <c r="AT39" s="130">
        <f t="shared" si="42"/>
        <v>-33.3345865227228</v>
      </c>
      <c r="AU39" s="130">
        <f t="shared" si="43"/>
        <v>269.241455619386</v>
      </c>
      <c r="AV39" s="130">
        <f t="shared" si="44"/>
        <v>305.7620720946125</v>
      </c>
      <c r="AW39" s="130">
        <f t="shared" si="45"/>
        <v>139.1539089544256</v>
      </c>
      <c r="AX39" s="130">
        <f t="shared" si="46"/>
        <v>1546.4307320320634</v>
      </c>
      <c r="AY39" s="130">
        <f t="shared" si="47"/>
        <v>620.1803910712515</v>
      </c>
      <c r="AZ39" s="130">
        <f t="shared" si="48"/>
        <v>2990.946047337161</v>
      </c>
      <c r="BA39" s="130">
        <f t="shared" si="49"/>
        <v>1603.5661436369933</v>
      </c>
      <c r="BB39" s="129">
        <f t="shared" si="50"/>
        <v>217.36690728839585</v>
      </c>
      <c r="BC39" s="130">
        <f t="shared" si="51"/>
        <v>1386.1992363485974</v>
      </c>
      <c r="BD39" s="129">
        <f t="shared" si="52"/>
        <v>9058.652229342571</v>
      </c>
      <c r="BE39" s="129">
        <f t="shared" si="53"/>
        <v>217.36727377884299</v>
      </c>
      <c r="BF39" s="130">
        <f t="shared" si="54"/>
        <v>14.152915237323677</v>
      </c>
      <c r="BG39" s="137">
        <f t="shared" si="55"/>
        <v>1.3359505679272032</v>
      </c>
      <c r="BH39" s="47"/>
      <c r="BI39" s="47"/>
      <c r="BJ39" s="47"/>
    </row>
    <row r="40" spans="1:62" ht="16.5" thickBot="1">
      <c r="A40" s="108">
        <f>IF(Data!A40&gt;0,Data!A40,"")</f>
        <v>20</v>
      </c>
      <c r="B40" s="109">
        <f>IF(A40&gt;0,IF(Data!$F$5="lb",Data!B40/2.204,Data!B40),"")</f>
        <v>106.54008453424525</v>
      </c>
      <c r="C40" s="109">
        <f>IF(A40&gt;0,Data!C40,"")</f>
        <v>0.7782073616981506</v>
      </c>
      <c r="D40" s="110">
        <f>IF(A40&gt;0,Data!D40,"")</f>
        <v>27.441837310791016</v>
      </c>
      <c r="E40" s="143">
        <f t="shared" si="3"/>
        <v>-0.2982901223482647</v>
      </c>
      <c r="F40" s="144">
        <f t="shared" si="4"/>
        <v>19.318652001667015</v>
      </c>
      <c r="G40" s="145">
        <f t="shared" si="5"/>
        <v>-8.512288989973076</v>
      </c>
      <c r="H40" s="111">
        <f>IF(A40&gt;0,IF(Data!$F$4="F",(Data!F40-32)/1.8,Data!F40),"")</f>
        <v>116.4107174343533</v>
      </c>
      <c r="I40" s="123">
        <f>IF(A40&gt;0,IF(Data!$F$4="F",(Data!G40-32)/1.8,Data!G40),"")</f>
        <v>26.656290690104164</v>
      </c>
      <c r="J40" s="136">
        <f t="shared" si="6"/>
        <v>0.9753318626723358</v>
      </c>
      <c r="K40" s="128">
        <f t="shared" si="7"/>
        <v>0.866730663214268</v>
      </c>
      <c r="L40" s="128">
        <f t="shared" si="8"/>
        <v>0.8453500321880009</v>
      </c>
      <c r="M40" s="155">
        <f t="shared" si="9"/>
        <v>4.328158082798903</v>
      </c>
      <c r="N40" s="130">
        <f t="shared" si="10"/>
        <v>106.54008453424525</v>
      </c>
      <c r="O40" s="130">
        <f t="shared" si="11"/>
        <v>9.000795879136358</v>
      </c>
      <c r="P40" s="130">
        <f t="shared" si="12"/>
        <v>86.11635032903044</v>
      </c>
      <c r="Q40" s="130">
        <f t="shared" si="13"/>
        <v>9.000795879136367</v>
      </c>
      <c r="R40" s="129">
        <f t="shared" si="37"/>
        <v>10534.904316400873</v>
      </c>
      <c r="S40" s="130">
        <f t="shared" si="14"/>
        <v>4.166666666666667</v>
      </c>
      <c r="T40" s="130">
        <f t="shared" si="15"/>
        <v>6.6</v>
      </c>
      <c r="U40" s="134">
        <f t="shared" si="38"/>
        <v>2.68125</v>
      </c>
      <c r="V40" s="130">
        <f t="shared" si="16"/>
        <v>19887</v>
      </c>
      <c r="W40" s="130">
        <f t="shared" si="17"/>
        <v>19.17</v>
      </c>
      <c r="X40" s="130">
        <f t="shared" si="18"/>
        <v>80.2922443174839</v>
      </c>
      <c r="Y40" s="130">
        <f t="shared" si="19"/>
        <v>21.29767753779414</v>
      </c>
      <c r="Z40" s="130">
        <f t="shared" si="20"/>
        <v>6.8029647234424955</v>
      </c>
      <c r="AA40" s="130">
        <f t="shared" si="21"/>
        <v>22.198500236984433</v>
      </c>
      <c r="AB40" s="130">
        <f t="shared" si="22"/>
        <v>0.12564167518790015</v>
      </c>
      <c r="AC40" s="130">
        <f t="shared" si="23"/>
        <v>0.6768949899825284</v>
      </c>
      <c r="AD40" s="130">
        <f t="shared" si="24"/>
        <v>40.54075996558835</v>
      </c>
      <c r="AE40" s="130">
        <f t="shared" si="25"/>
        <v>-12.575494154850798</v>
      </c>
      <c r="AF40" s="130">
        <f t="shared" si="26"/>
        <v>1.1496722138809703</v>
      </c>
      <c r="AG40" s="130">
        <f t="shared" si="27"/>
        <v>0.18561472170320412</v>
      </c>
      <c r="AH40" s="130">
        <f t="shared" si="28"/>
        <v>118.6184644675186</v>
      </c>
      <c r="AI40" s="130">
        <f t="shared" si="29"/>
        <v>32.79459970232223</v>
      </c>
      <c r="AJ40" s="130">
        <f t="shared" si="30"/>
        <v>13.175906470369913</v>
      </c>
      <c r="AK40" s="130">
        <f t="shared" si="39"/>
        <v>389.56071743435325</v>
      </c>
      <c r="AL40" s="130">
        <f t="shared" si="31"/>
        <v>3548.515005168945</v>
      </c>
      <c r="AM40" s="130">
        <f t="shared" si="32"/>
        <v>2682.2348899022186</v>
      </c>
      <c r="AN40" s="130">
        <f t="shared" si="33"/>
        <v>2611.1562129929985</v>
      </c>
      <c r="AO40" s="130">
        <f t="shared" si="34"/>
        <v>2581.6099624472636</v>
      </c>
      <c r="AP40" s="130">
        <f t="shared" si="35"/>
        <v>3390.318754050071</v>
      </c>
      <c r="AQ40" s="130">
        <f t="shared" si="36"/>
        <v>3125.580869186516</v>
      </c>
      <c r="AR40" s="130">
        <f t="shared" si="40"/>
        <v>299.80629069010416</v>
      </c>
      <c r="AS40" s="130">
        <f t="shared" si="41"/>
        <v>143.8594950588427</v>
      </c>
      <c r="AT40" s="130">
        <f t="shared" si="42"/>
        <v>-33.730429179902224</v>
      </c>
      <c r="AU40" s="130">
        <f t="shared" si="43"/>
        <v>328.35116256699814</v>
      </c>
      <c r="AV40" s="130">
        <f t="shared" si="44"/>
        <v>306.22660959954277</v>
      </c>
      <c r="AW40" s="130">
        <f t="shared" si="45"/>
        <v>165.85535128445554</v>
      </c>
      <c r="AX40" s="130">
        <f t="shared" si="46"/>
        <v>1544.4479277536143</v>
      </c>
      <c r="AY40" s="130">
        <f t="shared" si="47"/>
        <v>620.5137927936738</v>
      </c>
      <c r="AZ40" s="130">
        <f t="shared" si="48"/>
        <v>3075.5239098772254</v>
      </c>
      <c r="BA40" s="130">
        <f t="shared" si="49"/>
        <v>1629.222613433885</v>
      </c>
      <c r="BB40" s="129">
        <f t="shared" si="50"/>
        <v>259.87603758343744</v>
      </c>
      <c r="BC40" s="130">
        <f t="shared" si="51"/>
        <v>1369.3465758504476</v>
      </c>
      <c r="BD40" s="129">
        <f t="shared" si="52"/>
        <v>8905.681702966987</v>
      </c>
      <c r="BE40" s="129">
        <f t="shared" si="53"/>
        <v>259.8764664107774</v>
      </c>
      <c r="BF40" s="130">
        <f t="shared" si="54"/>
        <v>17.052709283295716</v>
      </c>
      <c r="BG40" s="137">
        <f t="shared" si="55"/>
        <v>1.5732354465599694</v>
      </c>
      <c r="BH40" s="47"/>
      <c r="BI40" s="47"/>
      <c r="BJ40" s="47"/>
    </row>
    <row r="41" spans="1:62" ht="16.5" thickBot="1">
      <c r="A41" s="108">
        <f>IF(Data!A41&gt;0,Data!A41,"")</f>
        <v>21</v>
      </c>
      <c r="B41" s="109">
        <f>IF(A41&gt;0,IF(Data!$F$5="lb",Data!B41/2.204,Data!B41),"")</f>
        <v>106.11005530383322</v>
      </c>
      <c r="C41" s="109">
        <f>IF(A41&gt;0,Data!C41,"")</f>
        <v>0.7781951427459717</v>
      </c>
      <c r="D41" s="110">
        <f>IF(A41&gt;0,Data!D41,"")</f>
        <v>27.441776275634766</v>
      </c>
      <c r="E41" s="143">
        <f t="shared" si="3"/>
        <v>-0.2982883008321937</v>
      </c>
      <c r="F41" s="144">
        <f t="shared" si="4"/>
        <v>19.318656210391826</v>
      </c>
      <c r="G41" s="145">
        <f t="shared" si="5"/>
        <v>-8.512217636615926</v>
      </c>
      <c r="H41" s="111">
        <f>IF(A41&gt;0,IF(Data!$F$4="F",(Data!F41-32)/1.8,Data!F41),"")</f>
        <v>117.18372768825955</v>
      </c>
      <c r="I41" s="123">
        <f>IF(A41&gt;0,IF(Data!$F$4="F",(Data!G41-32)/1.8,Data!G41),"")</f>
        <v>26.689410739474827</v>
      </c>
      <c r="J41" s="136">
        <f t="shared" si="6"/>
        <v>0.9753321780664979</v>
      </c>
      <c r="K41" s="128">
        <f t="shared" si="7"/>
        <v>0.8664871757086815</v>
      </c>
      <c r="L41" s="128">
        <f t="shared" si="8"/>
        <v>0.8451128243506366</v>
      </c>
      <c r="M41" s="155">
        <f t="shared" si="9"/>
        <v>4.3281696567</v>
      </c>
      <c r="N41" s="130">
        <f t="shared" si="10"/>
        <v>106.11005530383322</v>
      </c>
      <c r="O41" s="130">
        <f t="shared" si="11"/>
        <v>9.368097236998752</v>
      </c>
      <c r="P41" s="130">
        <f t="shared" si="12"/>
        <v>85.7687577020884</v>
      </c>
      <c r="Q41" s="130">
        <f t="shared" si="13"/>
        <v>9.368097236998759</v>
      </c>
      <c r="R41" s="129">
        <f t="shared" si="37"/>
        <v>11356.825614360378</v>
      </c>
      <c r="S41" s="130">
        <f t="shared" si="14"/>
        <v>4.166666666666667</v>
      </c>
      <c r="T41" s="130">
        <f t="shared" si="15"/>
        <v>6.6</v>
      </c>
      <c r="U41" s="134">
        <f t="shared" si="38"/>
        <v>2.68125</v>
      </c>
      <c r="V41" s="130">
        <f t="shared" si="16"/>
        <v>19887</v>
      </c>
      <c r="W41" s="130">
        <f t="shared" si="17"/>
        <v>19.17</v>
      </c>
      <c r="X41" s="130">
        <f t="shared" si="18"/>
        <v>80.29224621823519</v>
      </c>
      <c r="Y41" s="130">
        <f t="shared" si="19"/>
        <v>21.2976780419722</v>
      </c>
      <c r="Z41" s="130">
        <f t="shared" si="20"/>
        <v>6.802946692770279</v>
      </c>
      <c r="AA41" s="130">
        <f t="shared" si="21"/>
        <v>22.198444483151064</v>
      </c>
      <c r="AB41" s="130">
        <f t="shared" si="22"/>
        <v>0.12563980149542786</v>
      </c>
      <c r="AC41" s="130">
        <f t="shared" si="23"/>
        <v>0.6768931959306428</v>
      </c>
      <c r="AD41" s="130">
        <f t="shared" si="24"/>
        <v>40.54077724611456</v>
      </c>
      <c r="AE41" s="130">
        <f t="shared" si="25"/>
        <v>-12.57542207218186</v>
      </c>
      <c r="AF41" s="130">
        <f t="shared" si="26"/>
        <v>1.1496572094746078</v>
      </c>
      <c r="AG41" s="130">
        <f t="shared" si="27"/>
        <v>0.18561244558336706</v>
      </c>
      <c r="AH41" s="130">
        <f t="shared" si="28"/>
        <v>118.61878166443006</v>
      </c>
      <c r="AI41" s="130">
        <f t="shared" si="29"/>
        <v>32.794604254561904</v>
      </c>
      <c r="AJ41" s="130">
        <f t="shared" si="30"/>
        <v>13.175906470369913</v>
      </c>
      <c r="AK41" s="130">
        <f t="shared" si="39"/>
        <v>390.3337276882595</v>
      </c>
      <c r="AL41" s="130">
        <f t="shared" si="31"/>
        <v>3578.824950374143</v>
      </c>
      <c r="AM41" s="130">
        <f t="shared" si="32"/>
        <v>2704.6741568452267</v>
      </c>
      <c r="AN41" s="130">
        <f t="shared" si="33"/>
        <v>2632.8855278304563</v>
      </c>
      <c r="AO41" s="130">
        <f t="shared" si="34"/>
        <v>2603.1175979674326</v>
      </c>
      <c r="AP41" s="130">
        <f t="shared" si="35"/>
        <v>3420.309437036673</v>
      </c>
      <c r="AQ41" s="130">
        <f t="shared" si="36"/>
        <v>3151.5544888246036</v>
      </c>
      <c r="AR41" s="130">
        <f t="shared" si="40"/>
        <v>299.83941073947483</v>
      </c>
      <c r="AS41" s="130">
        <f t="shared" si="41"/>
        <v>145.08834511595512</v>
      </c>
      <c r="AT41" s="130">
        <f t="shared" si="42"/>
        <v>-34.012419090051324</v>
      </c>
      <c r="AU41" s="130">
        <f t="shared" si="43"/>
        <v>328.37185850963937</v>
      </c>
      <c r="AV41" s="130">
        <f t="shared" si="44"/>
        <v>308.7786380001345</v>
      </c>
      <c r="AW41" s="130">
        <f t="shared" si="45"/>
        <v>165.85888410996793</v>
      </c>
      <c r="AX41" s="130">
        <f t="shared" si="46"/>
        <v>1545.2999367165232</v>
      </c>
      <c r="AY41" s="130">
        <f t="shared" si="47"/>
        <v>620.8560187767222</v>
      </c>
      <c r="AZ41" s="130">
        <f t="shared" si="48"/>
        <v>3080.2412621388908</v>
      </c>
      <c r="BA41" s="130">
        <f t="shared" si="49"/>
        <v>1759.0266437506257</v>
      </c>
      <c r="BB41" s="129">
        <f t="shared" si="50"/>
        <v>280.147689706479</v>
      </c>
      <c r="BC41" s="130">
        <f t="shared" si="51"/>
        <v>1478.8789540441467</v>
      </c>
      <c r="BD41" s="129">
        <f t="shared" si="52"/>
        <v>9597.798970609752</v>
      </c>
      <c r="BE41" s="129">
        <f t="shared" si="53"/>
        <v>280.1481519848769</v>
      </c>
      <c r="BF41" s="130">
        <f t="shared" si="54"/>
        <v>18.38290242069032</v>
      </c>
      <c r="BG41" s="137">
        <f t="shared" si="55"/>
        <v>1.6959566964109256</v>
      </c>
      <c r="BH41" s="47"/>
      <c r="BI41" s="47"/>
      <c r="BJ41" s="47"/>
    </row>
    <row r="42" spans="1:62" ht="16.5" thickBot="1">
      <c r="A42" s="108">
        <f>IF(Data!A42&gt;0,Data!A42,"")</f>
        <v>22</v>
      </c>
      <c r="B42" s="109">
        <f>IF(A42&gt;0,IF(Data!$F$5="lb",Data!B42/2.204,Data!B42),"")</f>
        <v>105.12707497376927</v>
      </c>
      <c r="C42" s="109">
        <f>IF(A42&gt;0,Data!C42,"")</f>
        <v>0.7542747259140015</v>
      </c>
      <c r="D42" s="110">
        <f>IF(A42&gt;0,Data!D42,"")</f>
        <v>27.44186782836914</v>
      </c>
      <c r="E42" s="143">
        <f t="shared" si="3"/>
        <v>-0.29769527670901896</v>
      </c>
      <c r="F42" s="144">
        <f t="shared" si="4"/>
        <v>19.320025268504793</v>
      </c>
      <c r="G42" s="145">
        <f t="shared" si="5"/>
        <v>-8.498979922821349</v>
      </c>
      <c r="H42" s="111">
        <f>IF(A42&gt;0,IF(Data!$F$4="F",(Data!F42-32)/1.8,Data!F42),"")</f>
        <v>117.04004923502603</v>
      </c>
      <c r="I42" s="123">
        <f>IF(A42&gt;0,IF(Data!$F$4="F",(Data!G42-32)/1.8,Data!G42),"")</f>
        <v>26.453827752007378</v>
      </c>
      <c r="J42" s="136">
        <f t="shared" si="6"/>
        <v>0.9760412357871364</v>
      </c>
      <c r="K42" s="128">
        <f t="shared" si="7"/>
        <v>0.8665120402585322</v>
      </c>
      <c r="L42" s="128">
        <f t="shared" si="8"/>
        <v>0.8457514825983709</v>
      </c>
      <c r="M42" s="155">
        <f t="shared" si="9"/>
        <v>4.332913020625389</v>
      </c>
      <c r="N42" s="130">
        <f t="shared" si="10"/>
        <v>105.12707497376927</v>
      </c>
      <c r="O42" s="130">
        <f t="shared" si="11"/>
        <v>10.207691349330542</v>
      </c>
      <c r="P42" s="130">
        <f t="shared" si="12"/>
        <v>84.9742147012977</v>
      </c>
      <c r="Q42" s="130">
        <f t="shared" si="13"/>
        <v>10.207691349330553</v>
      </c>
      <c r="R42" s="129">
        <f t="shared" si="37"/>
        <v>14921.062756024472</v>
      </c>
      <c r="S42" s="130">
        <f t="shared" si="14"/>
        <v>4.166666666666667</v>
      </c>
      <c r="T42" s="130">
        <f t="shared" si="15"/>
        <v>6.6</v>
      </c>
      <c r="U42" s="134">
        <f t="shared" si="38"/>
        <v>2.68125</v>
      </c>
      <c r="V42" s="130">
        <f t="shared" si="16"/>
        <v>19887</v>
      </c>
      <c r="W42" s="130">
        <f t="shared" si="17"/>
        <v>19.17</v>
      </c>
      <c r="X42" s="130">
        <f t="shared" si="18"/>
        <v>80.3028373685382</v>
      </c>
      <c r="Y42" s="130">
        <f t="shared" si="19"/>
        <v>21.30048736566</v>
      </c>
      <c r="Z42" s="130">
        <f t="shared" si="20"/>
        <v>6.796395689668597</v>
      </c>
      <c r="AA42" s="130">
        <f t="shared" si="21"/>
        <v>22.18376013723434</v>
      </c>
      <c r="AB42" s="130">
        <f t="shared" si="22"/>
        <v>0.12217281933601498</v>
      </c>
      <c r="AC42" s="130">
        <f t="shared" si="23"/>
        <v>0.6762413711220254</v>
      </c>
      <c r="AD42" s="130">
        <f t="shared" si="24"/>
        <v>40.57998963127228</v>
      </c>
      <c r="AE42" s="130">
        <f t="shared" si="25"/>
        <v>-12.56796801520701</v>
      </c>
      <c r="AF42" s="130">
        <f t="shared" si="26"/>
        <v>1.1153927549012603</v>
      </c>
      <c r="AG42" s="130">
        <f t="shared" si="27"/>
        <v>0.18066451499899333</v>
      </c>
      <c r="AH42" s="130">
        <f t="shared" si="28"/>
        <v>118.74877935270221</v>
      </c>
      <c r="AI42" s="130">
        <f t="shared" si="29"/>
        <v>32.804500115730654</v>
      </c>
      <c r="AJ42" s="130">
        <f t="shared" si="30"/>
        <v>13.175906470369913</v>
      </c>
      <c r="AK42" s="130">
        <f t="shared" si="39"/>
        <v>390.190049235026</v>
      </c>
      <c r="AL42" s="130">
        <f t="shared" si="31"/>
        <v>3581.961385924844</v>
      </c>
      <c r="AM42" s="130">
        <f t="shared" si="32"/>
        <v>2707.2663778909036</v>
      </c>
      <c r="AN42" s="130">
        <f t="shared" si="33"/>
        <v>2635.4632464932088</v>
      </c>
      <c r="AO42" s="130">
        <f t="shared" si="34"/>
        <v>2605.654778053824</v>
      </c>
      <c r="AP42" s="130">
        <f t="shared" si="35"/>
        <v>3422.821082727407</v>
      </c>
      <c r="AQ42" s="130">
        <f t="shared" si="36"/>
        <v>3154.657241327885</v>
      </c>
      <c r="AR42" s="130">
        <f t="shared" si="40"/>
        <v>299.60382775200736</v>
      </c>
      <c r="AS42" s="130">
        <f t="shared" si="41"/>
        <v>145.35595590044784</v>
      </c>
      <c r="AT42" s="130">
        <f t="shared" si="42"/>
        <v>-34.02483724597821</v>
      </c>
      <c r="AU42" s="130">
        <f t="shared" si="43"/>
        <v>318.58791849871943</v>
      </c>
      <c r="AV42" s="130">
        <f t="shared" si="44"/>
        <v>309.4183243084278</v>
      </c>
      <c r="AW42" s="130">
        <f t="shared" si="45"/>
        <v>161.43798432428318</v>
      </c>
      <c r="AX42" s="130">
        <f t="shared" si="46"/>
        <v>1545.8680194267922</v>
      </c>
      <c r="AY42" s="130">
        <f t="shared" si="47"/>
        <v>620.8969003535061</v>
      </c>
      <c r="AZ42" s="130">
        <f t="shared" si="48"/>
        <v>3067.5402655661987</v>
      </c>
      <c r="BA42" s="130">
        <f t="shared" si="49"/>
        <v>2301.5518081734413</v>
      </c>
      <c r="BB42" s="129">
        <f t="shared" si="50"/>
        <v>357.48963266436783</v>
      </c>
      <c r="BC42" s="130">
        <f t="shared" si="51"/>
        <v>1944.0621755090733</v>
      </c>
      <c r="BD42" s="129">
        <f t="shared" si="52"/>
        <v>12619.510947851031</v>
      </c>
      <c r="BE42" s="129">
        <f t="shared" si="53"/>
        <v>357.4902243769294</v>
      </c>
      <c r="BF42" s="130">
        <f t="shared" si="54"/>
        <v>23.4323763372006</v>
      </c>
      <c r="BG42" s="137">
        <f t="shared" si="55"/>
        <v>2.1688190806751777</v>
      </c>
      <c r="BH42" s="47"/>
      <c r="BI42" s="47"/>
      <c r="BJ42" s="47"/>
    </row>
    <row r="43" spans="1:62" ht="16.5" thickBot="1">
      <c r="A43" s="108">
        <f>IF(Data!A43&gt;0,Data!A43,"")</f>
        <v>23</v>
      </c>
      <c r="B43" s="109">
        <f>IF(A43&gt;0,IF(Data!$F$5="lb",Data!B43/2.204,Data!B43),"")</f>
        <v>104.25358545542196</v>
      </c>
      <c r="C43" s="109">
        <f>IF(A43&gt;0,Data!C43,"")</f>
        <v>0.6693704724311829</v>
      </c>
      <c r="D43" s="110">
        <f>IF(A43&gt;0,Data!D43,"")</f>
        <v>27.441715240478516</v>
      </c>
      <c r="E43" s="143">
        <f t="shared" si="3"/>
        <v>-0.2955702850934391</v>
      </c>
      <c r="F43" s="144">
        <f t="shared" si="4"/>
        <v>19.324912104833572</v>
      </c>
      <c r="G43" s="145">
        <f t="shared" si="5"/>
        <v>-8.451488371860535</v>
      </c>
      <c r="H43" s="111">
        <f>IF(A43&gt;0,IF(Data!$F$4="F",(Data!F43-32)/1.8,Data!F43),"")</f>
        <v>116.40947977701822</v>
      </c>
      <c r="I43" s="123">
        <f>IF(A43&gt;0,IF(Data!$F$4="F",(Data!G43-32)/1.8,Data!G43),"")</f>
        <v>26.00606706407335</v>
      </c>
      <c r="J43" s="136">
        <f t="shared" si="6"/>
        <v>0.9785687630622986</v>
      </c>
      <c r="K43" s="128">
        <f t="shared" si="7"/>
        <v>0.8667636490851985</v>
      </c>
      <c r="L43" s="128">
        <f t="shared" si="8"/>
        <v>0.8481878319526669</v>
      </c>
      <c r="M43" s="155">
        <f t="shared" si="9"/>
        <v>4.3498956687274495</v>
      </c>
      <c r="N43" s="130">
        <f t="shared" si="10"/>
        <v>104.25358545542196</v>
      </c>
      <c r="O43" s="130">
        <f t="shared" si="11"/>
        <v>10.953765949562086</v>
      </c>
      <c r="P43" s="130">
        <f t="shared" si="12"/>
        <v>84.26817312361757</v>
      </c>
      <c r="Q43" s="130">
        <f t="shared" si="13"/>
        <v>10.95376594956209</v>
      </c>
      <c r="R43" s="129">
        <f t="shared" si="37"/>
        <v>10482.376139210708</v>
      </c>
      <c r="S43" s="130">
        <f t="shared" si="14"/>
        <v>4.166666666666667</v>
      </c>
      <c r="T43" s="130">
        <f t="shared" si="15"/>
        <v>6.6</v>
      </c>
      <c r="U43" s="134">
        <f t="shared" si="38"/>
        <v>2.68125</v>
      </c>
      <c r="V43" s="130">
        <f t="shared" si="16"/>
        <v>19887</v>
      </c>
      <c r="W43" s="130">
        <f t="shared" si="17"/>
        <v>19.17</v>
      </c>
      <c r="X43" s="130">
        <f t="shared" si="18"/>
        <v>80.34040265895084</v>
      </c>
      <c r="Y43" s="130">
        <f t="shared" si="19"/>
        <v>21.31045163367396</v>
      </c>
      <c r="Z43" s="130">
        <f t="shared" si="20"/>
        <v>6.773028446315565</v>
      </c>
      <c r="AA43" s="130">
        <f t="shared" si="21"/>
        <v>22.131261579364384</v>
      </c>
      <c r="AB43" s="130">
        <f t="shared" si="22"/>
        <v>0.10986614673849004</v>
      </c>
      <c r="AC43" s="130">
        <f t="shared" si="23"/>
        <v>0.6739163304083987</v>
      </c>
      <c r="AD43" s="130">
        <f t="shared" si="24"/>
        <v>40.719765944607126</v>
      </c>
      <c r="AE43" s="130">
        <f t="shared" si="25"/>
        <v>-12.54085706268442</v>
      </c>
      <c r="AF43" s="130">
        <f t="shared" si="26"/>
        <v>0.9932545662241765</v>
      </c>
      <c r="AG43" s="130">
        <f t="shared" si="27"/>
        <v>0.16302639034123165</v>
      </c>
      <c r="AH43" s="130">
        <f t="shared" si="28"/>
        <v>119.21420958928819</v>
      </c>
      <c r="AI43" s="130">
        <f t="shared" si="29"/>
        <v>32.83977636504618</v>
      </c>
      <c r="AJ43" s="130">
        <f t="shared" si="30"/>
        <v>13.175906470369913</v>
      </c>
      <c r="AK43" s="130">
        <f t="shared" si="39"/>
        <v>389.55947977701817</v>
      </c>
      <c r="AL43" s="130">
        <f t="shared" si="31"/>
        <v>3573.319230972392</v>
      </c>
      <c r="AM43" s="130">
        <f t="shared" si="32"/>
        <v>2701.3642604811234</v>
      </c>
      <c r="AN43" s="130">
        <f t="shared" si="33"/>
        <v>2629.871756413118</v>
      </c>
      <c r="AO43" s="130">
        <f t="shared" si="34"/>
        <v>2600.094197945849</v>
      </c>
      <c r="AP43" s="130">
        <f t="shared" si="35"/>
        <v>3413.184039261911</v>
      </c>
      <c r="AQ43" s="130">
        <f t="shared" si="36"/>
        <v>3148.01311042991</v>
      </c>
      <c r="AR43" s="130">
        <f t="shared" si="40"/>
        <v>299.15606706407334</v>
      </c>
      <c r="AS43" s="130">
        <f t="shared" si="41"/>
        <v>145.50472273055934</v>
      </c>
      <c r="AT43" s="130">
        <f t="shared" si="42"/>
        <v>-33.87742306493797</v>
      </c>
      <c r="AU43" s="130">
        <f t="shared" si="43"/>
        <v>283.69622159011976</v>
      </c>
      <c r="AV43" s="130">
        <f t="shared" si="44"/>
        <v>309.9681746658086</v>
      </c>
      <c r="AW43" s="130">
        <f t="shared" si="45"/>
        <v>145.67535859408056</v>
      </c>
      <c r="AX43" s="130">
        <f t="shared" si="46"/>
        <v>1547.3121735354669</v>
      </c>
      <c r="AY43" s="130">
        <f t="shared" si="47"/>
        <v>620.8093579062175</v>
      </c>
      <c r="AZ43" s="130">
        <f t="shared" si="48"/>
        <v>3019.0885859573145</v>
      </c>
      <c r="BA43" s="130">
        <f t="shared" si="49"/>
        <v>1591.3522479812113</v>
      </c>
      <c r="BB43" s="129">
        <f t="shared" si="50"/>
        <v>224.64991020586186</v>
      </c>
      <c r="BC43" s="130">
        <f t="shared" si="51"/>
        <v>1366.7023377753494</v>
      </c>
      <c r="BD43" s="129">
        <f t="shared" si="52"/>
        <v>8891.023891229497</v>
      </c>
      <c r="BE43" s="129">
        <f t="shared" si="53"/>
        <v>224.65028670953234</v>
      </c>
      <c r="BF43" s="130">
        <f t="shared" si="54"/>
        <v>14.65915940183089</v>
      </c>
      <c r="BG43" s="137">
        <f t="shared" si="55"/>
        <v>1.3748912911345723</v>
      </c>
      <c r="BH43" s="47"/>
      <c r="BI43" s="47"/>
      <c r="BJ43" s="47"/>
    </row>
    <row r="44" spans="1:62" ht="16.5" thickBot="1">
      <c r="A44" s="108">
        <f>IF(Data!A44&gt;0,Data!A44,"")</f>
        <v>24</v>
      </c>
      <c r="B44" s="109">
        <f>IF(A44&gt;0,IF(Data!$F$5="lb",Data!B44/2.204,Data!B44),"")</f>
        <v>103.82286390245717</v>
      </c>
      <c r="C44" s="109">
        <f>IF(A44&gt;0,Data!C44,"")</f>
        <v>0.7354626655578613</v>
      </c>
      <c r="D44" s="110">
        <f>IF(A44&gt;0,Data!D44,"")</f>
        <v>27.441837310791016</v>
      </c>
      <c r="E44" s="143">
        <f t="shared" si="3"/>
        <v>-0.2972256351360748</v>
      </c>
      <c r="F44" s="144">
        <f t="shared" si="4"/>
        <v>19.321107845671897</v>
      </c>
      <c r="G44" s="145">
        <f t="shared" si="5"/>
        <v>-8.48846079789805</v>
      </c>
      <c r="H44" s="111">
        <f>IF(A44&gt;0,IF(Data!$F$4="F",(Data!F44-32)/1.8,Data!F44),"")</f>
        <v>116.60553826226128</v>
      </c>
      <c r="I44" s="123">
        <f>IF(A44&gt;0,IF(Data!$F$4="F",(Data!G44-32)/1.8,Data!G44),"")</f>
        <v>26.561529371473522</v>
      </c>
      <c r="J44" s="136">
        <f t="shared" si="6"/>
        <v>0.9765997571804192</v>
      </c>
      <c r="K44" s="128">
        <f t="shared" si="7"/>
        <v>0.8667306413623126</v>
      </c>
      <c r="L44" s="128">
        <f t="shared" si="8"/>
        <v>0.8464489338952635</v>
      </c>
      <c r="M44" s="155">
        <f t="shared" si="9"/>
        <v>4.336665257508477</v>
      </c>
      <c r="N44" s="130">
        <f t="shared" si="10"/>
        <v>103.82286390245717</v>
      </c>
      <c r="O44" s="130">
        <f t="shared" si="11"/>
        <v>11.321658641677411</v>
      </c>
      <c r="P44" s="130">
        <f t="shared" si="12"/>
        <v>83.92002089235613</v>
      </c>
      <c r="Q44" s="130">
        <f t="shared" si="13"/>
        <v>11.321658641677418</v>
      </c>
      <c r="R44" s="129">
        <f t="shared" si="37"/>
        <v>10684.309142412525</v>
      </c>
      <c r="S44" s="130">
        <f t="shared" si="14"/>
        <v>4.166666666666667</v>
      </c>
      <c r="T44" s="130">
        <f t="shared" si="15"/>
        <v>6.6</v>
      </c>
      <c r="U44" s="134">
        <f t="shared" si="38"/>
        <v>2.68125</v>
      </c>
      <c r="V44" s="130">
        <f t="shared" si="16"/>
        <v>19887</v>
      </c>
      <c r="W44" s="130">
        <f t="shared" si="17"/>
        <v>19.17</v>
      </c>
      <c r="X44" s="130">
        <f t="shared" si="18"/>
        <v>80.31116082154918</v>
      </c>
      <c r="Y44" s="130">
        <f t="shared" si="19"/>
        <v>21.302695178129756</v>
      </c>
      <c r="Z44" s="130">
        <f t="shared" si="20"/>
        <v>6.7912190489158455</v>
      </c>
      <c r="AA44" s="130">
        <f t="shared" si="21"/>
        <v>22.172130739821327</v>
      </c>
      <c r="AB44" s="130">
        <f t="shared" si="22"/>
        <v>0.11944606080048104</v>
      </c>
      <c r="AC44" s="130">
        <f t="shared" si="23"/>
        <v>0.6757262953671266</v>
      </c>
      <c r="AD44" s="130">
        <f t="shared" si="24"/>
        <v>40.61087676909433</v>
      </c>
      <c r="AE44" s="130">
        <f t="shared" si="25"/>
        <v>-12.561980873167313</v>
      </c>
      <c r="AF44" s="130">
        <f t="shared" si="26"/>
        <v>1.0884032049667085</v>
      </c>
      <c r="AG44" s="130">
        <f t="shared" si="27"/>
        <v>0.17676692711149444</v>
      </c>
      <c r="AH44" s="130">
        <f t="shared" si="28"/>
        <v>118.85161399249024</v>
      </c>
      <c r="AI44" s="130">
        <f t="shared" si="29"/>
        <v>32.812295291505656</v>
      </c>
      <c r="AJ44" s="130">
        <f t="shared" si="30"/>
        <v>13.175906470369913</v>
      </c>
      <c r="AK44" s="130">
        <f t="shared" si="39"/>
        <v>389.75553826226127</v>
      </c>
      <c r="AL44" s="130">
        <f t="shared" si="31"/>
        <v>3560.094514768673</v>
      </c>
      <c r="AM44" s="130">
        <f t="shared" si="32"/>
        <v>2690.9293505687065</v>
      </c>
      <c r="AN44" s="130">
        <f t="shared" si="33"/>
        <v>2619.606030041746</v>
      </c>
      <c r="AO44" s="130">
        <f t="shared" si="34"/>
        <v>2589.9671549066593</v>
      </c>
      <c r="AP44" s="130">
        <f t="shared" si="35"/>
        <v>3401.509493723428</v>
      </c>
      <c r="AQ44" s="130">
        <f t="shared" si="36"/>
        <v>3135.6908676309604</v>
      </c>
      <c r="AR44" s="130">
        <f t="shared" si="40"/>
        <v>299.7115293714735</v>
      </c>
      <c r="AS44" s="130">
        <f t="shared" si="41"/>
        <v>144.57855962559927</v>
      </c>
      <c r="AT44" s="130">
        <f t="shared" si="42"/>
        <v>-33.80340303288863</v>
      </c>
      <c r="AU44" s="130">
        <f t="shared" si="43"/>
        <v>310.8616757819913</v>
      </c>
      <c r="AV44" s="130">
        <f t="shared" si="44"/>
        <v>307.82177654819446</v>
      </c>
      <c r="AW44" s="130">
        <f t="shared" si="45"/>
        <v>157.9514151506055</v>
      </c>
      <c r="AX44" s="130">
        <f t="shared" si="46"/>
        <v>1545.613026363797</v>
      </c>
      <c r="AY44" s="130">
        <f t="shared" si="47"/>
        <v>620.6470011875934</v>
      </c>
      <c r="AZ44" s="130">
        <f t="shared" si="48"/>
        <v>3053.6700516248925</v>
      </c>
      <c r="BA44" s="130">
        <f t="shared" si="49"/>
        <v>1640.5870594100252</v>
      </c>
      <c r="BB44" s="129">
        <f t="shared" si="50"/>
        <v>250.01501341915338</v>
      </c>
      <c r="BC44" s="130">
        <f t="shared" si="51"/>
        <v>1390.5720459908719</v>
      </c>
      <c r="BD44" s="129">
        <f t="shared" si="52"/>
        <v>9043.7220830025</v>
      </c>
      <c r="BE44" s="129">
        <f t="shared" si="53"/>
        <v>250.01542829192007</v>
      </c>
      <c r="BF44" s="130">
        <f t="shared" si="54"/>
        <v>16.3728775972642</v>
      </c>
      <c r="BG44" s="137">
        <f t="shared" si="55"/>
        <v>1.5194911211653914</v>
      </c>
      <c r="BH44" s="47"/>
      <c r="BI44" s="47"/>
      <c r="BJ44" s="47"/>
    </row>
    <row r="45" spans="1:62" ht="16.5" thickBot="1">
      <c r="A45" s="108">
        <f>IF(Data!A45&gt;0,Data!A45,"")</f>
        <v>25</v>
      </c>
      <c r="B45" s="109">
        <f>IF(A45&gt;0,IF(Data!$F$5="lb",Data!B45/2.204,Data!B45),"")</f>
        <v>102.92424999867073</v>
      </c>
      <c r="C45" s="109">
        <f>IF(A45&gt;0,Data!C45,"")</f>
        <v>0.9162193536758423</v>
      </c>
      <c r="D45" s="110">
        <f>IF(A45&gt;0,Data!D45,"")</f>
        <v>27.44162368774414</v>
      </c>
      <c r="E45" s="143">
        <f t="shared" si="3"/>
        <v>-0.30169991894181447</v>
      </c>
      <c r="F45" s="144">
        <f t="shared" si="4"/>
        <v>19.310734965665393</v>
      </c>
      <c r="G45" s="145">
        <f t="shared" si="5"/>
        <v>-8.588998398916669</v>
      </c>
      <c r="H45" s="111">
        <f>IF(A45&gt;0,IF(Data!$F$4="F",(Data!F45-32)/1.8,Data!F45),"")</f>
        <v>116.99698554144965</v>
      </c>
      <c r="I45" s="123">
        <f>IF(A45&gt;0,IF(Data!$F$4="F",(Data!G45-32)/1.8,Data!G45),"")</f>
        <v>26.11445109049479</v>
      </c>
      <c r="J45" s="136">
        <f t="shared" si="6"/>
        <v>0.9712676777707194</v>
      </c>
      <c r="K45" s="128">
        <f t="shared" si="7"/>
        <v>0.8660613829706327</v>
      </c>
      <c r="L45" s="128">
        <f t="shared" si="8"/>
        <v>0.8411774282447843</v>
      </c>
      <c r="M45" s="155">
        <f t="shared" si="9"/>
        <v>4.300921594706268</v>
      </c>
      <c r="N45" s="130">
        <f t="shared" si="10"/>
        <v>102.92424999867073</v>
      </c>
      <c r="O45" s="130">
        <f t="shared" si="11"/>
        <v>12.089192761947645</v>
      </c>
      <c r="P45" s="130">
        <f t="shared" si="12"/>
        <v>83.19367127392556</v>
      </c>
      <c r="Q45" s="130">
        <f t="shared" si="13"/>
        <v>12.089192761947647</v>
      </c>
      <c r="R45" s="129">
        <f t="shared" si="37"/>
        <v>11279.25752219635</v>
      </c>
      <c r="S45" s="130">
        <f t="shared" si="14"/>
        <v>4.166666666666667</v>
      </c>
      <c r="T45" s="130">
        <f t="shared" si="15"/>
        <v>6.6</v>
      </c>
      <c r="U45" s="134">
        <f t="shared" si="38"/>
        <v>2.68125</v>
      </c>
      <c r="V45" s="130">
        <f t="shared" si="16"/>
        <v>19887</v>
      </c>
      <c r="W45" s="130">
        <f t="shared" si="17"/>
        <v>19.17</v>
      </c>
      <c r="X45" s="130">
        <f t="shared" si="18"/>
        <v>80.23115535749669</v>
      </c>
      <c r="Y45" s="130">
        <f t="shared" si="19"/>
        <v>21.281473569627767</v>
      </c>
      <c r="Z45" s="130">
        <f t="shared" si="20"/>
        <v>6.840837229262571</v>
      </c>
      <c r="AA45" s="130">
        <f t="shared" si="21"/>
        <v>22.28347202888502</v>
      </c>
      <c r="AB45" s="130">
        <f t="shared" si="22"/>
        <v>0.14564541384073237</v>
      </c>
      <c r="AC45" s="130">
        <f t="shared" si="23"/>
        <v>0.6806633043116258</v>
      </c>
      <c r="AD45" s="130">
        <f t="shared" si="24"/>
        <v>40.316002807726846</v>
      </c>
      <c r="AE45" s="130">
        <f t="shared" si="25"/>
        <v>-12.61857124441719</v>
      </c>
      <c r="AF45" s="130">
        <f t="shared" si="26"/>
        <v>1.346068383402042</v>
      </c>
      <c r="AG45" s="130">
        <f t="shared" si="27"/>
        <v>0.213975710043643</v>
      </c>
      <c r="AH45" s="130">
        <f t="shared" si="28"/>
        <v>117.8720152082192</v>
      </c>
      <c r="AI45" s="130">
        <f t="shared" si="29"/>
        <v>32.737877725641354</v>
      </c>
      <c r="AJ45" s="130">
        <f t="shared" si="30"/>
        <v>13.175906470369913</v>
      </c>
      <c r="AK45" s="130">
        <f t="shared" si="39"/>
        <v>390.1469855414496</v>
      </c>
      <c r="AL45" s="130">
        <f t="shared" si="31"/>
        <v>3593.1742179696876</v>
      </c>
      <c r="AM45" s="130">
        <f t="shared" si="32"/>
        <v>2715.9656015481046</v>
      </c>
      <c r="AN45" s="130">
        <f t="shared" si="33"/>
        <v>2643.986684950473</v>
      </c>
      <c r="AO45" s="130">
        <f t="shared" si="34"/>
        <v>2614.070284076937</v>
      </c>
      <c r="AP45" s="130">
        <f t="shared" si="35"/>
        <v>3433.0441357799655</v>
      </c>
      <c r="AQ45" s="130">
        <f t="shared" si="36"/>
        <v>3164.8772566495923</v>
      </c>
      <c r="AR45" s="130">
        <f t="shared" si="40"/>
        <v>299.2644510904948</v>
      </c>
      <c r="AS45" s="130">
        <f t="shared" si="41"/>
        <v>144.86242186031765</v>
      </c>
      <c r="AT45" s="130">
        <f t="shared" si="42"/>
        <v>-34.27160544052115</v>
      </c>
      <c r="AU45" s="130">
        <f t="shared" si="43"/>
        <v>384.4869169068419</v>
      </c>
      <c r="AV45" s="130">
        <f t="shared" si="44"/>
        <v>308.12573228007057</v>
      </c>
      <c r="AW45" s="130">
        <f t="shared" si="45"/>
        <v>191.20635020617377</v>
      </c>
      <c r="AX45" s="130">
        <f t="shared" si="46"/>
        <v>1543.0631103635824</v>
      </c>
      <c r="AY45" s="130">
        <f t="shared" si="47"/>
        <v>621.0315583195106</v>
      </c>
      <c r="AZ45" s="130">
        <f t="shared" si="48"/>
        <v>3158.5044844959757</v>
      </c>
      <c r="BA45" s="130">
        <f t="shared" si="49"/>
        <v>1791.4006871645868</v>
      </c>
      <c r="BB45" s="129">
        <f t="shared" si="50"/>
        <v>324.0787347077659</v>
      </c>
      <c r="BC45" s="130">
        <f t="shared" si="51"/>
        <v>1467.3219524568208</v>
      </c>
      <c r="BD45" s="129">
        <f t="shared" si="52"/>
        <v>9487.856835031764</v>
      </c>
      <c r="BE45" s="129">
        <f t="shared" si="53"/>
        <v>324.0792616347826</v>
      </c>
      <c r="BF45" s="130">
        <f t="shared" si="54"/>
        <v>21.37648988226422</v>
      </c>
      <c r="BG45" s="137">
        <f t="shared" si="55"/>
        <v>1.9417606573758257</v>
      </c>
      <c r="BH45" s="47"/>
      <c r="BI45" s="47"/>
      <c r="BJ45" s="47"/>
    </row>
    <row r="46" spans="1:62" ht="16.5" thickBot="1">
      <c r="A46" s="108">
        <f>IF(Data!A46&gt;0,Data!A46,"")</f>
        <v>26</v>
      </c>
      <c r="B46" s="109">
        <f>IF(A46&gt;0,IF(Data!$F$5="lb",Data!B46/2.204,Data!B46),"")</f>
        <v>102.41950531836646</v>
      </c>
      <c r="C46" s="109">
        <f>IF(A46&gt;0,Data!C46,"")</f>
        <v>1.122591257095337</v>
      </c>
      <c r="D46" s="110">
        <f>IF(A46&gt;0,Data!D46,"")</f>
        <v>27.441776275634766</v>
      </c>
      <c r="E46" s="143">
        <f t="shared" si="3"/>
        <v>-0.30674872910213424</v>
      </c>
      <c r="F46" s="144">
        <f t="shared" si="4"/>
        <v>19.298869354732506</v>
      </c>
      <c r="G46" s="145">
        <f t="shared" si="5"/>
        <v>-8.704202549449928</v>
      </c>
      <c r="H46" s="111">
        <f>IF(A46&gt;0,IF(Data!$F$4="F",(Data!F46-32)/1.8,Data!F46),"")</f>
        <v>117.74939643012152</v>
      </c>
      <c r="I46" s="123">
        <f>IF(A46&gt;0,IF(Data!$F$4="F",(Data!G46-32)/1.8,Data!G46),"")</f>
        <v>26.210242377387154</v>
      </c>
      <c r="J46" s="136">
        <f t="shared" si="6"/>
        <v>0.9652742118579211</v>
      </c>
      <c r="K46" s="128">
        <f t="shared" si="7"/>
        <v>0.8653923398309848</v>
      </c>
      <c r="L46" s="128">
        <f t="shared" si="8"/>
        <v>0.8353409087782361</v>
      </c>
      <c r="M46" s="155">
        <f t="shared" si="9"/>
        <v>4.260683726493172</v>
      </c>
      <c r="N46" s="130">
        <f t="shared" si="10"/>
        <v>102.41950531836646</v>
      </c>
      <c r="O46" s="130">
        <f t="shared" si="11"/>
        <v>12.5203109123858</v>
      </c>
      <c r="P46" s="130">
        <f t="shared" si="12"/>
        <v>82.78568614883561</v>
      </c>
      <c r="Q46" s="130">
        <f t="shared" si="13"/>
        <v>12.52031091238581</v>
      </c>
      <c r="R46" s="129">
        <f t="shared" si="37"/>
        <v>11104.9797139768</v>
      </c>
      <c r="S46" s="130">
        <f t="shared" si="14"/>
        <v>4.166666666666667</v>
      </c>
      <c r="T46" s="130">
        <f t="shared" si="15"/>
        <v>6.6</v>
      </c>
      <c r="U46" s="134">
        <f t="shared" si="38"/>
        <v>2.68125</v>
      </c>
      <c r="V46" s="130">
        <f t="shared" si="16"/>
        <v>19887</v>
      </c>
      <c r="W46" s="130">
        <f t="shared" si="17"/>
        <v>19.17</v>
      </c>
      <c r="X46" s="130">
        <f t="shared" si="18"/>
        <v>80.13983501671983</v>
      </c>
      <c r="Y46" s="130">
        <f t="shared" si="19"/>
        <v>21.257250667564943</v>
      </c>
      <c r="Z46" s="130">
        <f t="shared" si="20"/>
        <v>6.8975821688095476</v>
      </c>
      <c r="AA46" s="130">
        <f t="shared" si="21"/>
        <v>22.410904815785475</v>
      </c>
      <c r="AB46" s="130">
        <f t="shared" si="22"/>
        <v>0.17555817064301493</v>
      </c>
      <c r="AC46" s="130">
        <f t="shared" si="23"/>
        <v>0.6863094257965501</v>
      </c>
      <c r="AD46" s="130">
        <f t="shared" si="24"/>
        <v>39.984553969639954</v>
      </c>
      <c r="AE46" s="130">
        <f t="shared" si="25"/>
        <v>-12.682621310857831</v>
      </c>
      <c r="AF46" s="130">
        <f t="shared" si="26"/>
        <v>1.635692611670641</v>
      </c>
      <c r="AG46" s="130">
        <f t="shared" si="27"/>
        <v>0.25580031986192986</v>
      </c>
      <c r="AH46" s="130">
        <f t="shared" si="28"/>
        <v>116.76924722942174</v>
      </c>
      <c r="AI46" s="130">
        <f t="shared" si="29"/>
        <v>32.65422850600478</v>
      </c>
      <c r="AJ46" s="130">
        <f t="shared" si="30"/>
        <v>13.175906470369913</v>
      </c>
      <c r="AK46" s="130">
        <f t="shared" si="39"/>
        <v>390.8993964301215</v>
      </c>
      <c r="AL46" s="130">
        <f t="shared" si="31"/>
        <v>3620.26047020896</v>
      </c>
      <c r="AM46" s="130">
        <f t="shared" si="32"/>
        <v>2735.937649199666</v>
      </c>
      <c r="AN46" s="130">
        <f t="shared" si="33"/>
        <v>2663.30669593729</v>
      </c>
      <c r="AO46" s="130">
        <f t="shared" si="34"/>
        <v>2633.1974443889803</v>
      </c>
      <c r="AP46" s="130">
        <f t="shared" si="35"/>
        <v>3460.021650077246</v>
      </c>
      <c r="AQ46" s="130">
        <f t="shared" si="36"/>
        <v>3187.964545746377</v>
      </c>
      <c r="AR46" s="130">
        <f t="shared" si="40"/>
        <v>299.3602423773871</v>
      </c>
      <c r="AS46" s="130">
        <f t="shared" si="41"/>
        <v>144.7545001552243</v>
      </c>
      <c r="AT46" s="130">
        <f t="shared" si="42"/>
        <v>-34.698861134917955</v>
      </c>
      <c r="AU46" s="130">
        <f t="shared" si="43"/>
        <v>467.2459103396673</v>
      </c>
      <c r="AV46" s="130">
        <f t="shared" si="44"/>
        <v>307.47648338773837</v>
      </c>
      <c r="AW46" s="130">
        <f t="shared" si="45"/>
        <v>228.58726417183496</v>
      </c>
      <c r="AX46" s="130">
        <f t="shared" si="46"/>
        <v>1539.8742959263682</v>
      </c>
      <c r="AY46" s="130">
        <f t="shared" si="47"/>
        <v>621.3357542813044</v>
      </c>
      <c r="AZ46" s="130">
        <f t="shared" si="48"/>
        <v>3274.57534712722</v>
      </c>
      <c r="BA46" s="130">
        <f t="shared" si="49"/>
        <v>1828.5358677395443</v>
      </c>
      <c r="BB46" s="129">
        <f t="shared" si="50"/>
        <v>385.6285556415763</v>
      </c>
      <c r="BC46" s="130">
        <f t="shared" si="51"/>
        <v>1442.9073120979679</v>
      </c>
      <c r="BD46" s="129">
        <f t="shared" si="52"/>
        <v>9276.443846237256</v>
      </c>
      <c r="BE46" s="129">
        <f t="shared" si="53"/>
        <v>385.6291728696438</v>
      </c>
      <c r="BF46" s="130">
        <f t="shared" si="54"/>
        <v>25.57456285942161</v>
      </c>
      <c r="BG46" s="137">
        <f t="shared" si="55"/>
        <v>2.2854386185109936</v>
      </c>
      <c r="BH46" s="47"/>
      <c r="BI46" s="47"/>
      <c r="BJ46" s="47"/>
    </row>
    <row r="47" spans="1:62" ht="16.5" thickBot="1">
      <c r="A47" s="108">
        <f>IF(Data!A47&gt;0,Data!A47,"")</f>
        <v>27</v>
      </c>
      <c r="B47" s="109">
        <f>IF(A47&gt;0,IF(Data!$F$5="lb",Data!B47/2.204,Data!B47),"")</f>
        <v>101.54257495693199</v>
      </c>
      <c r="C47" s="109">
        <f>IF(A47&gt;0,Data!C47,"")</f>
        <v>0.9516733288764954</v>
      </c>
      <c r="D47" s="110">
        <f>IF(A47&gt;0,Data!D47,"")</f>
        <v>27.441654205322266</v>
      </c>
      <c r="E47" s="143">
        <f t="shared" si="3"/>
        <v>-0.30257261778818545</v>
      </c>
      <c r="F47" s="144">
        <f t="shared" si="4"/>
        <v>19.308696247725486</v>
      </c>
      <c r="G47" s="145">
        <f t="shared" si="5"/>
        <v>-8.608794622035028</v>
      </c>
      <c r="H47" s="111">
        <f>IF(A47&gt;0,IF(Data!$F$4="F",(Data!F47-32)/1.8,Data!F47),"")</f>
        <v>118.47422281901041</v>
      </c>
      <c r="I47" s="123">
        <f>IF(A47&gt;0,IF(Data!$F$4="F",(Data!G47-32)/1.8,Data!G47),"")</f>
        <v>26.095432705349392</v>
      </c>
      <c r="J47" s="136">
        <f t="shared" si="6"/>
        <v>0.9702309615487776</v>
      </c>
      <c r="K47" s="128">
        <f t="shared" si="7"/>
        <v>0.865491938215595</v>
      </c>
      <c r="L47" s="128">
        <f t="shared" si="8"/>
        <v>0.839727075427632</v>
      </c>
      <c r="M47" s="155">
        <f t="shared" si="9"/>
        <v>4.293960811014124</v>
      </c>
      <c r="N47" s="130">
        <f t="shared" si="10"/>
        <v>101.54257495693199</v>
      </c>
      <c r="O47" s="130">
        <f t="shared" si="11"/>
        <v>13.269324443854401</v>
      </c>
      <c r="P47" s="130">
        <f t="shared" si="12"/>
        <v>82.07686333768812</v>
      </c>
      <c r="Q47" s="130">
        <f t="shared" si="13"/>
        <v>13.26932444385441</v>
      </c>
      <c r="R47" s="129">
        <f t="shared" si="37"/>
        <v>14173.816048943037</v>
      </c>
      <c r="S47" s="130">
        <f t="shared" si="14"/>
        <v>4.166666666666667</v>
      </c>
      <c r="T47" s="130">
        <f t="shared" si="15"/>
        <v>6.6</v>
      </c>
      <c r="U47" s="134">
        <f t="shared" si="38"/>
        <v>2.68125</v>
      </c>
      <c r="V47" s="130">
        <f t="shared" si="16"/>
        <v>19887</v>
      </c>
      <c r="W47" s="130">
        <f t="shared" si="17"/>
        <v>19.17</v>
      </c>
      <c r="X47" s="130">
        <f t="shared" si="18"/>
        <v>80.21546708783626</v>
      </c>
      <c r="Y47" s="130">
        <f t="shared" si="19"/>
        <v>21.277312224890256</v>
      </c>
      <c r="Z47" s="130">
        <f t="shared" si="20"/>
        <v>6.850586847084156</v>
      </c>
      <c r="AA47" s="130">
        <f t="shared" si="21"/>
        <v>22.305367938073932</v>
      </c>
      <c r="AB47" s="130">
        <f t="shared" si="22"/>
        <v>0.1507843286518913</v>
      </c>
      <c r="AC47" s="130">
        <f t="shared" si="23"/>
        <v>0.6816333912848737</v>
      </c>
      <c r="AD47" s="130">
        <f t="shared" si="24"/>
        <v>40.25867065226215</v>
      </c>
      <c r="AE47" s="130">
        <f t="shared" si="25"/>
        <v>-12.629655078674354</v>
      </c>
      <c r="AF47" s="130">
        <f t="shared" si="26"/>
        <v>1.396165946451946</v>
      </c>
      <c r="AG47" s="130">
        <f t="shared" si="27"/>
        <v>0.22121030245842857</v>
      </c>
      <c r="AH47" s="130">
        <f t="shared" si="28"/>
        <v>117.6812464199131</v>
      </c>
      <c r="AI47" s="130">
        <f t="shared" si="29"/>
        <v>32.72340854081178</v>
      </c>
      <c r="AJ47" s="130">
        <f t="shared" si="30"/>
        <v>13.175906470369913</v>
      </c>
      <c r="AK47" s="130">
        <f t="shared" si="39"/>
        <v>391.62422281901036</v>
      </c>
      <c r="AL47" s="130">
        <f t="shared" si="31"/>
        <v>3654.2841520594866</v>
      </c>
      <c r="AM47" s="130">
        <f t="shared" si="32"/>
        <v>2761.2864198901884</v>
      </c>
      <c r="AN47" s="130">
        <f t="shared" si="33"/>
        <v>2687.8934651972904</v>
      </c>
      <c r="AO47" s="130">
        <f t="shared" si="34"/>
        <v>2657.5249445674426</v>
      </c>
      <c r="AP47" s="130">
        <f t="shared" si="35"/>
        <v>3493.3363134897313</v>
      </c>
      <c r="AQ47" s="130">
        <f t="shared" si="36"/>
        <v>3217.3665176199966</v>
      </c>
      <c r="AR47" s="130">
        <f t="shared" si="40"/>
        <v>299.24543270534934</v>
      </c>
      <c r="AS47" s="130">
        <f t="shared" si="41"/>
        <v>147.11662214754392</v>
      </c>
      <c r="AT47" s="130">
        <f t="shared" si="42"/>
        <v>-34.87409505664064</v>
      </c>
      <c r="AU47" s="130">
        <f t="shared" si="43"/>
        <v>398.8579350080748</v>
      </c>
      <c r="AV47" s="130">
        <f t="shared" si="44"/>
        <v>312.7408478687071</v>
      </c>
      <c r="AW47" s="130">
        <f t="shared" si="45"/>
        <v>197.68443997768102</v>
      </c>
      <c r="AX47" s="130">
        <f t="shared" si="46"/>
        <v>1544.098749112561</v>
      </c>
      <c r="AY47" s="130">
        <f t="shared" si="47"/>
        <v>621.7231519127556</v>
      </c>
      <c r="AZ47" s="130">
        <f t="shared" si="48"/>
        <v>3187.3476509706825</v>
      </c>
      <c r="BA47" s="130">
        <f t="shared" si="49"/>
        <v>2271.6789505148668</v>
      </c>
      <c r="BB47" s="129">
        <f t="shared" si="50"/>
        <v>421.9401910772277</v>
      </c>
      <c r="BC47" s="130">
        <f t="shared" si="51"/>
        <v>1849.7387594376391</v>
      </c>
      <c r="BD47" s="129">
        <f t="shared" si="52"/>
        <v>11902.137098428171</v>
      </c>
      <c r="BE47" s="129">
        <f t="shared" si="53"/>
        <v>421.94087496153895</v>
      </c>
      <c r="BF47" s="130">
        <f t="shared" si="54"/>
        <v>27.862019428100442</v>
      </c>
      <c r="BG47" s="137">
        <f t="shared" si="55"/>
        <v>2.52256781630357</v>
      </c>
      <c r="BH47" s="47"/>
      <c r="BI47" s="47"/>
      <c r="BJ47" s="47"/>
    </row>
    <row r="48" spans="1:62" ht="16.5" thickBot="1">
      <c r="A48" s="108">
        <f>IF(Data!A48&gt;0,Data!A48,"")</f>
        <v>28</v>
      </c>
      <c r="B48" s="109">
        <f>IF(A48&gt;0,IF(Data!$F$5="lb",Data!B48/2.204,Data!B48),"")</f>
        <v>100.65600746556332</v>
      </c>
      <c r="C48" s="109">
        <f>IF(A48&gt;0,Data!C48,"")</f>
        <v>0.9117693305015564</v>
      </c>
      <c r="D48" s="110">
        <f>IF(A48&gt;0,Data!D48,"")</f>
        <v>27.441715240478516</v>
      </c>
      <c r="E48" s="143">
        <f t="shared" si="3"/>
        <v>-0.3015925769234512</v>
      </c>
      <c r="F48" s="144">
        <f t="shared" si="4"/>
        <v>19.31098537623014</v>
      </c>
      <c r="G48" s="145">
        <f t="shared" si="5"/>
        <v>-8.586614529499155</v>
      </c>
      <c r="H48" s="111">
        <f>IF(A48&gt;0,IF(Data!$F$4="F",(Data!F48-32)/1.8,Data!F48),"")</f>
        <v>119.13055419921875</v>
      </c>
      <c r="I48" s="123">
        <f>IF(A48&gt;0,IF(Data!$F$4="F",(Data!G48-32)/1.8,Data!G48),"")</f>
        <v>26.174176534016926</v>
      </c>
      <c r="J48" s="136">
        <f t="shared" si="6"/>
        <v>0.9713980958293398</v>
      </c>
      <c r="K48" s="128">
        <f t="shared" si="7"/>
        <v>0.8653889203785383</v>
      </c>
      <c r="L48" s="128">
        <f t="shared" si="8"/>
        <v>0.8406371494075202</v>
      </c>
      <c r="M48" s="155">
        <f t="shared" si="9"/>
        <v>4.301782554320543</v>
      </c>
      <c r="N48" s="130">
        <f t="shared" si="10"/>
        <v>100.65600746556332</v>
      </c>
      <c r="O48" s="130">
        <f t="shared" si="11"/>
        <v>14.026569348123717</v>
      </c>
      <c r="P48" s="130">
        <f t="shared" si="12"/>
        <v>81.36025083441483</v>
      </c>
      <c r="Q48" s="130">
        <f t="shared" si="13"/>
        <v>14.026569348123727</v>
      </c>
      <c r="R48" s="129">
        <f t="shared" si="37"/>
        <v>14649.852654727925</v>
      </c>
      <c r="S48" s="130">
        <f t="shared" si="14"/>
        <v>4.166666666666667</v>
      </c>
      <c r="T48" s="130">
        <f t="shared" si="15"/>
        <v>6.6</v>
      </c>
      <c r="U48" s="134">
        <f t="shared" si="38"/>
        <v>2.68125</v>
      </c>
      <c r="V48" s="130">
        <f t="shared" si="16"/>
        <v>19887</v>
      </c>
      <c r="W48" s="130">
        <f t="shared" si="17"/>
        <v>19.17</v>
      </c>
      <c r="X48" s="130">
        <f t="shared" si="18"/>
        <v>80.23312995851909</v>
      </c>
      <c r="Y48" s="130">
        <f t="shared" si="19"/>
        <v>21.28199733647721</v>
      </c>
      <c r="Z48" s="130">
        <f t="shared" si="20"/>
        <v>6.839636431624001</v>
      </c>
      <c r="AA48" s="130">
        <f t="shared" si="21"/>
        <v>22.280799102786</v>
      </c>
      <c r="AB48" s="130">
        <f t="shared" si="22"/>
        <v>0.1450005607866025</v>
      </c>
      <c r="AC48" s="130">
        <f t="shared" si="23"/>
        <v>0.680543824946588</v>
      </c>
      <c r="AD48" s="130">
        <f t="shared" si="24"/>
        <v>40.32321539708667</v>
      </c>
      <c r="AE48" s="130">
        <f t="shared" si="25"/>
        <v>-12.617283729189767</v>
      </c>
      <c r="AF48" s="130">
        <f t="shared" si="26"/>
        <v>1.339765783009075</v>
      </c>
      <c r="AG48" s="130">
        <f t="shared" si="27"/>
        <v>0.21306572107679145</v>
      </c>
      <c r="AH48" s="130">
        <f t="shared" si="28"/>
        <v>117.8956108591774</v>
      </c>
      <c r="AI48" s="130">
        <f t="shared" si="29"/>
        <v>32.73969770357506</v>
      </c>
      <c r="AJ48" s="130">
        <f t="shared" si="30"/>
        <v>13.175906470369913</v>
      </c>
      <c r="AK48" s="130">
        <f t="shared" si="39"/>
        <v>392.2805541992187</v>
      </c>
      <c r="AL48" s="130">
        <f t="shared" si="31"/>
        <v>3678.1229191337056</v>
      </c>
      <c r="AM48" s="130">
        <f t="shared" si="32"/>
        <v>2778.8585240822904</v>
      </c>
      <c r="AN48" s="130">
        <f t="shared" si="33"/>
        <v>2704.890527668433</v>
      </c>
      <c r="AO48" s="130">
        <f t="shared" si="34"/>
        <v>2674.352630403409</v>
      </c>
      <c r="AP48" s="130">
        <f t="shared" si="35"/>
        <v>3517.091227116152</v>
      </c>
      <c r="AQ48" s="130">
        <f t="shared" si="36"/>
        <v>3237.6774647543425</v>
      </c>
      <c r="AR48" s="130">
        <f t="shared" si="40"/>
        <v>299.3241765340169</v>
      </c>
      <c r="AS48" s="130">
        <f t="shared" si="41"/>
        <v>148.31374272518963</v>
      </c>
      <c r="AT48" s="130">
        <f t="shared" si="42"/>
        <v>-35.06164644162377</v>
      </c>
      <c r="AU48" s="130">
        <f t="shared" si="43"/>
        <v>382.76825800684264</v>
      </c>
      <c r="AV48" s="130">
        <f t="shared" si="44"/>
        <v>315.29443701425777</v>
      </c>
      <c r="AW48" s="130">
        <f t="shared" si="45"/>
        <v>190.41110158923073</v>
      </c>
      <c r="AX48" s="130">
        <f t="shared" si="46"/>
        <v>1545.5323497862264</v>
      </c>
      <c r="AY48" s="130">
        <f t="shared" si="47"/>
        <v>621.9907670525224</v>
      </c>
      <c r="AZ48" s="130">
        <f t="shared" si="48"/>
        <v>3169.2490097326454</v>
      </c>
      <c r="BA48" s="130">
        <f t="shared" si="49"/>
        <v>2334.6422798172493</v>
      </c>
      <c r="BB48" s="129">
        <f t="shared" si="50"/>
        <v>419.0130001808996</v>
      </c>
      <c r="BC48" s="130">
        <f t="shared" si="51"/>
        <v>1915.6292796363498</v>
      </c>
      <c r="BD48" s="129">
        <f t="shared" si="52"/>
        <v>12315.210374910675</v>
      </c>
      <c r="BE48" s="129">
        <f t="shared" si="53"/>
        <v>419.01368174482013</v>
      </c>
      <c r="BF48" s="130">
        <f t="shared" si="54"/>
        <v>27.634454506060028</v>
      </c>
      <c r="BG48" s="137">
        <f t="shared" si="55"/>
        <v>2.5112939464360458</v>
      </c>
      <c r="BH48" s="47"/>
      <c r="BI48" s="47"/>
      <c r="BJ48" s="47"/>
    </row>
    <row r="49" spans="1:62" ht="16.5" thickBot="1">
      <c r="A49" s="108">
        <f>IF(Data!A49&gt;0,Data!A49,"")</f>
        <v>29</v>
      </c>
      <c r="B49" s="109">
        <f>IF(A49&gt;0,IF(Data!$F$5="lb",Data!B49/2.204,Data!B49),"")</f>
        <v>99.71984890974151</v>
      </c>
      <c r="C49" s="109">
        <f>IF(A49&gt;0,Data!C49,"")</f>
        <v>1.0561211109161377</v>
      </c>
      <c r="D49" s="110">
        <f>IF(A49&gt;0,Data!D49,"")</f>
        <v>27.441654205322266</v>
      </c>
      <c r="E49" s="143">
        <f t="shared" si="3"/>
        <v>-0.30512877322128096</v>
      </c>
      <c r="F49" s="144">
        <f t="shared" si="4"/>
        <v>19.3026953287225</v>
      </c>
      <c r="G49" s="145">
        <f t="shared" si="5"/>
        <v>-8.667019432057835</v>
      </c>
      <c r="H49" s="111">
        <f>IF(A49&gt;0,IF(Data!$F$4="F",(Data!F49-32)/1.8,Data!F49),"")</f>
        <v>119.2598385281033</v>
      </c>
      <c r="I49" s="123">
        <f>IF(A49&gt;0,IF(Data!$F$4="F",(Data!G49-32)/1.8,Data!G49),"")</f>
        <v>26.166085137261284</v>
      </c>
      <c r="J49" s="136">
        <f t="shared" si="6"/>
        <v>0.9671937718084899</v>
      </c>
      <c r="K49" s="128">
        <f t="shared" si="7"/>
        <v>0.8650271454915409</v>
      </c>
      <c r="L49" s="128">
        <f t="shared" si="8"/>
        <v>0.8366488675646949</v>
      </c>
      <c r="M49" s="155">
        <f t="shared" si="9"/>
        <v>4.2735821023559515</v>
      </c>
      <c r="N49" s="130">
        <f t="shared" si="10"/>
        <v>99.71984890974151</v>
      </c>
      <c r="O49" s="130">
        <f t="shared" si="11"/>
        <v>14.826171524930126</v>
      </c>
      <c r="P49" s="130">
        <f t="shared" si="12"/>
        <v>80.60355387374406</v>
      </c>
      <c r="Q49" s="130">
        <f t="shared" si="13"/>
        <v>14.82617152493014</v>
      </c>
      <c r="R49" s="129">
        <f t="shared" si="37"/>
        <v>11174.20116781602</v>
      </c>
      <c r="S49" s="130">
        <f t="shared" si="14"/>
        <v>4.166666666666667</v>
      </c>
      <c r="T49" s="130">
        <f t="shared" si="15"/>
        <v>6.6</v>
      </c>
      <c r="U49" s="134">
        <f t="shared" si="38"/>
        <v>2.68125</v>
      </c>
      <c r="V49" s="130">
        <f t="shared" si="16"/>
        <v>19887</v>
      </c>
      <c r="W49" s="130">
        <f t="shared" si="17"/>
        <v>19.17</v>
      </c>
      <c r="X49" s="130">
        <f t="shared" si="18"/>
        <v>80.16924411581942</v>
      </c>
      <c r="Y49" s="130">
        <f t="shared" si="19"/>
        <v>21.265051489607274</v>
      </c>
      <c r="Z49" s="130">
        <f t="shared" si="20"/>
        <v>6.87928770973251</v>
      </c>
      <c r="AA49" s="130">
        <f t="shared" si="21"/>
        <v>22.369802493489836</v>
      </c>
      <c r="AB49" s="130">
        <f t="shared" si="22"/>
        <v>0.1659234743137219</v>
      </c>
      <c r="AC49" s="130">
        <f t="shared" si="23"/>
        <v>0.6844891271183847</v>
      </c>
      <c r="AD49" s="130">
        <f t="shared" si="24"/>
        <v>40.09070870248628</v>
      </c>
      <c r="AE49" s="130">
        <f t="shared" si="25"/>
        <v>-12.662026449631016</v>
      </c>
      <c r="AF49" s="130">
        <f t="shared" si="26"/>
        <v>1.5429333631087436</v>
      </c>
      <c r="AG49" s="130">
        <f t="shared" si="27"/>
        <v>0.2424048355775049</v>
      </c>
      <c r="AH49" s="130">
        <f t="shared" si="28"/>
        <v>117.12274299129061</v>
      </c>
      <c r="AI49" s="130">
        <f t="shared" si="29"/>
        <v>32.68101947457363</v>
      </c>
      <c r="AJ49" s="130">
        <f t="shared" si="30"/>
        <v>13.175906470369913</v>
      </c>
      <c r="AK49" s="130">
        <f t="shared" si="39"/>
        <v>392.40983852810325</v>
      </c>
      <c r="AL49" s="130">
        <f t="shared" si="31"/>
        <v>3683.722232165932</v>
      </c>
      <c r="AM49" s="130">
        <f t="shared" si="32"/>
        <v>2783.016034796431</v>
      </c>
      <c r="AN49" s="130">
        <f t="shared" si="33"/>
        <v>2708.919544746966</v>
      </c>
      <c r="AO49" s="130">
        <f t="shared" si="34"/>
        <v>2678.339901695002</v>
      </c>
      <c r="AP49" s="130">
        <f t="shared" si="35"/>
        <v>3522.6048703314054</v>
      </c>
      <c r="AQ49" s="130">
        <f t="shared" si="36"/>
        <v>3242.494425942181</v>
      </c>
      <c r="AR49" s="130">
        <f t="shared" si="40"/>
        <v>299.31608513726127</v>
      </c>
      <c r="AS49" s="130">
        <f t="shared" si="41"/>
        <v>147.6830349506369</v>
      </c>
      <c r="AT49" s="130">
        <f t="shared" si="42"/>
        <v>-35.23862264233964</v>
      </c>
      <c r="AU49" s="130">
        <f t="shared" si="43"/>
        <v>440.81902356980015</v>
      </c>
      <c r="AV49" s="130">
        <f t="shared" si="44"/>
        <v>313.6945159495423</v>
      </c>
      <c r="AW49" s="130">
        <f t="shared" si="45"/>
        <v>216.63201527272662</v>
      </c>
      <c r="AX49" s="130">
        <f t="shared" si="46"/>
        <v>1542.9197687579408</v>
      </c>
      <c r="AY49" s="130">
        <f t="shared" si="47"/>
        <v>622.0542348826048</v>
      </c>
      <c r="AZ49" s="130">
        <f t="shared" si="48"/>
        <v>3248.563970740912</v>
      </c>
      <c r="BA49" s="130">
        <f t="shared" si="49"/>
        <v>1825.318414822655</v>
      </c>
      <c r="BB49" s="129">
        <f t="shared" si="50"/>
        <v>366.58280401935144</v>
      </c>
      <c r="BC49" s="130">
        <f t="shared" si="51"/>
        <v>1458.7356108033036</v>
      </c>
      <c r="BD49" s="129">
        <f t="shared" si="52"/>
        <v>9348.882752993364</v>
      </c>
      <c r="BE49" s="129">
        <f t="shared" si="53"/>
        <v>366.58339336921136</v>
      </c>
      <c r="BF49" s="130">
        <f t="shared" si="54"/>
        <v>24.274618497588204</v>
      </c>
      <c r="BG49" s="137">
        <f t="shared" si="55"/>
        <v>2.1792571201644533</v>
      </c>
      <c r="BH49" s="47"/>
      <c r="BI49" s="47"/>
      <c r="BJ49" s="47"/>
    </row>
    <row r="50" spans="1:62" ht="16.5" thickBot="1">
      <c r="A50" s="108">
        <f>IF(Data!A50&gt;0,Data!A50,"")</f>
        <v>30</v>
      </c>
      <c r="B50" s="109">
        <f>IF(A50&gt;0,IF(Data!$F$5="lb",Data!B50/2.204,Data!B50),"")</f>
        <v>99.26571993126842</v>
      </c>
      <c r="C50" s="109">
        <f>IF(A50&gt;0,Data!C50,"")</f>
        <v>1.176198959350586</v>
      </c>
      <c r="D50" s="110">
        <f>IF(A50&gt;0,Data!D50,"")</f>
        <v>27.441715240478516</v>
      </c>
      <c r="E50" s="143">
        <f t="shared" si="3"/>
        <v>-0.3080458639932211</v>
      </c>
      <c r="F50" s="144">
        <f t="shared" si="4"/>
        <v>19.295792896756414</v>
      </c>
      <c r="G50" s="145">
        <f t="shared" si="5"/>
        <v>-8.734021823397395</v>
      </c>
      <c r="H50" s="111">
        <f>IF(A50&gt;0,IF(Data!$F$4="F",(Data!F50-32)/1.8,Data!F50),"")</f>
        <v>119.26104227701822</v>
      </c>
      <c r="I50" s="123">
        <f>IF(A50&gt;0,IF(Data!$F$4="F",(Data!G50-32)/1.8,Data!G50),"")</f>
        <v>25.779469807942707</v>
      </c>
      <c r="J50" s="136">
        <f t="shared" si="6"/>
        <v>0.9637333183699113</v>
      </c>
      <c r="K50" s="128">
        <f t="shared" si="7"/>
        <v>0.864640857461648</v>
      </c>
      <c r="L50" s="128">
        <f t="shared" si="8"/>
        <v>0.8332832027597196</v>
      </c>
      <c r="M50" s="155">
        <f t="shared" si="9"/>
        <v>4.250354102430602</v>
      </c>
      <c r="N50" s="130">
        <f t="shared" si="10"/>
        <v>99.26571993126842</v>
      </c>
      <c r="O50" s="130">
        <f t="shared" si="11"/>
        <v>15.214057228136877</v>
      </c>
      <c r="P50" s="130">
        <f t="shared" si="12"/>
        <v>80.23648142044426</v>
      </c>
      <c r="Q50" s="130">
        <f t="shared" si="13"/>
        <v>15.214057228136886</v>
      </c>
      <c r="R50" s="129">
        <f t="shared" si="37"/>
        <v>10839.278393974333</v>
      </c>
      <c r="S50" s="130">
        <f t="shared" si="14"/>
        <v>4.166666666666667</v>
      </c>
      <c r="T50" s="130">
        <f t="shared" si="15"/>
        <v>6.6</v>
      </c>
      <c r="U50" s="134">
        <f t="shared" si="38"/>
        <v>2.68125</v>
      </c>
      <c r="V50" s="130">
        <f t="shared" si="16"/>
        <v>19887</v>
      </c>
      <c r="W50" s="130">
        <f t="shared" si="17"/>
        <v>19.17</v>
      </c>
      <c r="X50" s="130">
        <f t="shared" si="18"/>
        <v>80.1161076235683</v>
      </c>
      <c r="Y50" s="130">
        <f t="shared" si="19"/>
        <v>21.25095692932846</v>
      </c>
      <c r="Z50" s="130">
        <f t="shared" si="20"/>
        <v>6.912298180007229</v>
      </c>
      <c r="AA50" s="130">
        <f t="shared" si="21"/>
        <v>22.443927560288476</v>
      </c>
      <c r="AB50" s="130">
        <f t="shared" si="22"/>
        <v>0.18332821686768952</v>
      </c>
      <c r="AC50" s="130">
        <f t="shared" si="23"/>
        <v>0.6877736689107193</v>
      </c>
      <c r="AD50" s="130">
        <f t="shared" si="24"/>
        <v>39.89933968239885</v>
      </c>
      <c r="AE50" s="130">
        <f t="shared" si="25"/>
        <v>-12.698976739295857</v>
      </c>
      <c r="AF50" s="130">
        <f t="shared" si="26"/>
        <v>1.7101540994051483</v>
      </c>
      <c r="AG50" s="130">
        <f t="shared" si="27"/>
        <v>0.26655311936852816</v>
      </c>
      <c r="AH50" s="130">
        <f t="shared" si="28"/>
        <v>116.48615125155112</v>
      </c>
      <c r="AI50" s="130">
        <f t="shared" si="29"/>
        <v>32.63272290699158</v>
      </c>
      <c r="AJ50" s="130">
        <f t="shared" si="30"/>
        <v>13.175906470369913</v>
      </c>
      <c r="AK50" s="130">
        <f t="shared" si="39"/>
        <v>392.41104227701817</v>
      </c>
      <c r="AL50" s="130">
        <f t="shared" si="31"/>
        <v>3698.5458243650214</v>
      </c>
      <c r="AM50" s="130">
        <f t="shared" si="32"/>
        <v>2794.4476656825314</v>
      </c>
      <c r="AN50" s="130">
        <f t="shared" si="33"/>
        <v>2720.103746312607</v>
      </c>
      <c r="AO50" s="130">
        <f t="shared" si="34"/>
        <v>2689.3859029235664</v>
      </c>
      <c r="AP50" s="130">
        <f t="shared" si="35"/>
        <v>3536.2708741520782</v>
      </c>
      <c r="AQ50" s="130">
        <f t="shared" si="36"/>
        <v>3255.899644577995</v>
      </c>
      <c r="AR50" s="130">
        <f t="shared" si="40"/>
        <v>298.92946980794267</v>
      </c>
      <c r="AS50" s="130">
        <f t="shared" si="41"/>
        <v>147.56953617725787</v>
      </c>
      <c r="AT50" s="130">
        <f t="shared" si="42"/>
        <v>-35.48662590568207</v>
      </c>
      <c r="AU50" s="130">
        <f t="shared" si="43"/>
        <v>488.61343562552497</v>
      </c>
      <c r="AV50" s="130">
        <f t="shared" si="44"/>
        <v>313.27621306174393</v>
      </c>
      <c r="AW50" s="130">
        <f t="shared" si="45"/>
        <v>238.21646255704889</v>
      </c>
      <c r="AX50" s="130">
        <f t="shared" si="46"/>
        <v>1541.077064411999</v>
      </c>
      <c r="AY50" s="130">
        <f t="shared" si="47"/>
        <v>622.230860789565</v>
      </c>
      <c r="AZ50" s="130">
        <f t="shared" si="48"/>
        <v>3315.496946717458</v>
      </c>
      <c r="BA50" s="130">
        <f t="shared" si="49"/>
        <v>1807.089778239172</v>
      </c>
      <c r="BB50" s="129">
        <f t="shared" si="50"/>
        <v>393.10403145088594</v>
      </c>
      <c r="BC50" s="130">
        <f t="shared" si="51"/>
        <v>1413.985746788286</v>
      </c>
      <c r="BD50" s="129">
        <f t="shared" si="52"/>
        <v>9032.188615735162</v>
      </c>
      <c r="BE50" s="129">
        <f t="shared" si="53"/>
        <v>393.1046586141656</v>
      </c>
      <c r="BF50" s="130">
        <f t="shared" si="54"/>
        <v>26.09903045413426</v>
      </c>
      <c r="BG50" s="137">
        <f t="shared" si="55"/>
        <v>2.3245283593243817</v>
      </c>
      <c r="BH50" s="47"/>
      <c r="BI50" s="47"/>
      <c r="BJ50" s="47"/>
    </row>
    <row r="51" spans="1:62" ht="16.5" thickBot="1">
      <c r="A51" s="108">
        <f>IF(Data!A51&gt;0,Data!A51,"")</f>
        <v>31</v>
      </c>
      <c r="B51" s="109">
        <f>IF(A51&gt;0,IF(Data!$F$5="lb",Data!B51/2.204,Data!B51),"")</f>
        <v>98.37123226989634</v>
      </c>
      <c r="C51" s="109">
        <f>IF(A51&gt;0,Data!C51,"")</f>
        <v>1.064106822013855</v>
      </c>
      <c r="D51" s="110">
        <f>IF(A51&gt;0,Data!D51,"")</f>
        <v>27.44162368774414</v>
      </c>
      <c r="E51" s="143">
        <f t="shared" si="3"/>
        <v>-0.30532269335528106</v>
      </c>
      <c r="F51" s="144">
        <f t="shared" si="4"/>
        <v>19.302238272851785</v>
      </c>
      <c r="G51" s="145">
        <f t="shared" si="5"/>
        <v>-8.671438825899283</v>
      </c>
      <c r="H51" s="111">
        <f>IF(A51&gt;0,IF(Data!$F$4="F",(Data!F51-32)/1.8,Data!F51),"")</f>
        <v>118.99002075195312</v>
      </c>
      <c r="I51" s="123">
        <f>IF(A51&gt;0,IF(Data!$F$4="F",(Data!G51-32)/1.8,Data!G51),"")</f>
        <v>26.295157538519966</v>
      </c>
      <c r="J51" s="136">
        <f t="shared" si="6"/>
        <v>0.9669625696123343</v>
      </c>
      <c r="K51" s="128">
        <f t="shared" si="7"/>
        <v>0.8651395020211592</v>
      </c>
      <c r="L51" s="128">
        <f t="shared" si="8"/>
        <v>0.8365575159475154</v>
      </c>
      <c r="M51" s="155">
        <f t="shared" si="9"/>
        <v>4.272035474065268</v>
      </c>
      <c r="N51" s="130">
        <f t="shared" si="10"/>
        <v>98.37123226989634</v>
      </c>
      <c r="O51" s="130">
        <f t="shared" si="11"/>
        <v>15.978066996259674</v>
      </c>
      <c r="P51" s="130">
        <f t="shared" si="12"/>
        <v>79.51346704375722</v>
      </c>
      <c r="Q51" s="130">
        <f t="shared" si="13"/>
        <v>15.978066996259678</v>
      </c>
      <c r="R51" s="129">
        <f t="shared" si="37"/>
        <v>14121.287871752873</v>
      </c>
      <c r="S51" s="130">
        <f t="shared" si="14"/>
        <v>4.166666666666667</v>
      </c>
      <c r="T51" s="130">
        <f t="shared" si="15"/>
        <v>6.6</v>
      </c>
      <c r="U51" s="134">
        <f t="shared" si="38"/>
        <v>2.68125</v>
      </c>
      <c r="V51" s="130">
        <f t="shared" si="16"/>
        <v>19887</v>
      </c>
      <c r="W51" s="130">
        <f t="shared" si="17"/>
        <v>19.17</v>
      </c>
      <c r="X51" s="130">
        <f t="shared" si="18"/>
        <v>80.16570831614129</v>
      </c>
      <c r="Y51" s="130">
        <f t="shared" si="19"/>
        <v>21.264113611708567</v>
      </c>
      <c r="Z51" s="130">
        <f t="shared" si="20"/>
        <v>6.881474740498288</v>
      </c>
      <c r="AA51" s="130">
        <f t="shared" si="21"/>
        <v>22.3747048256746</v>
      </c>
      <c r="AB51" s="130">
        <f t="shared" si="22"/>
        <v>0.16708090898487526</v>
      </c>
      <c r="AC51" s="130">
        <f t="shared" si="23"/>
        <v>0.6847067366795797</v>
      </c>
      <c r="AD51" s="130">
        <f t="shared" si="24"/>
        <v>40.0779227334898</v>
      </c>
      <c r="AE51" s="130">
        <f t="shared" si="25"/>
        <v>-12.664456710256134</v>
      </c>
      <c r="AF51" s="130">
        <f t="shared" si="26"/>
        <v>1.5541059624652445</v>
      </c>
      <c r="AG51" s="130">
        <f t="shared" si="27"/>
        <v>0.24401820521748957</v>
      </c>
      <c r="AH51" s="130">
        <f t="shared" si="28"/>
        <v>117.08035575186142</v>
      </c>
      <c r="AI51" s="130">
        <f t="shared" si="29"/>
        <v>32.67779273529366</v>
      </c>
      <c r="AJ51" s="130">
        <f t="shared" si="30"/>
        <v>13.175906470369913</v>
      </c>
      <c r="AK51" s="130">
        <f t="shared" si="39"/>
        <v>392.1400207519531</v>
      </c>
      <c r="AL51" s="130">
        <f t="shared" si="31"/>
        <v>3667.748965104877</v>
      </c>
      <c r="AM51" s="130">
        <f t="shared" si="32"/>
        <v>2771.0325973414965</v>
      </c>
      <c r="AN51" s="130">
        <f t="shared" si="33"/>
        <v>2697.2757764090766</v>
      </c>
      <c r="AO51" s="130">
        <f t="shared" si="34"/>
        <v>2666.8232477772985</v>
      </c>
      <c r="AP51" s="130">
        <f t="shared" si="35"/>
        <v>3507.145836473373</v>
      </c>
      <c r="AQ51" s="130">
        <f t="shared" si="36"/>
        <v>3228.5637318111094</v>
      </c>
      <c r="AR51" s="130">
        <f t="shared" si="40"/>
        <v>299.44515753851994</v>
      </c>
      <c r="AS51" s="130">
        <f t="shared" si="41"/>
        <v>146.9957596293104</v>
      </c>
      <c r="AT51" s="130">
        <f t="shared" si="42"/>
        <v>-35.093622371740004</v>
      </c>
      <c r="AU51" s="130">
        <f t="shared" si="43"/>
        <v>443.9929610024574</v>
      </c>
      <c r="AV51" s="130">
        <f t="shared" si="44"/>
        <v>312.2326145771006</v>
      </c>
      <c r="AW51" s="130">
        <f t="shared" si="45"/>
        <v>218.07007691603187</v>
      </c>
      <c r="AX51" s="130">
        <f t="shared" si="46"/>
        <v>1542.3122052389365</v>
      </c>
      <c r="AY51" s="130">
        <f t="shared" si="47"/>
        <v>621.8706853596664</v>
      </c>
      <c r="AZ51" s="130">
        <f t="shared" si="48"/>
        <v>3250.380680351763</v>
      </c>
      <c r="BA51" s="130">
        <f t="shared" si="49"/>
        <v>2308.0183677795144</v>
      </c>
      <c r="BB51" s="129">
        <f t="shared" si="50"/>
        <v>466.53031543331065</v>
      </c>
      <c r="BC51" s="130">
        <f t="shared" si="51"/>
        <v>1841.4880523462039</v>
      </c>
      <c r="BD51" s="129">
        <f t="shared" si="52"/>
        <v>11813.269503973359</v>
      </c>
      <c r="BE51" s="129">
        <f t="shared" si="53"/>
        <v>466.53106504722257</v>
      </c>
      <c r="BF51" s="130">
        <f t="shared" si="54"/>
        <v>30.898947805954638</v>
      </c>
      <c r="BG51" s="137">
        <f t="shared" si="55"/>
        <v>2.7723448056114157</v>
      </c>
      <c r="BH51" s="47"/>
      <c r="BI51" s="47"/>
      <c r="BJ51" s="47"/>
    </row>
    <row r="52" spans="1:62" ht="16.5" thickBot="1">
      <c r="A52" s="108">
        <f>IF(Data!A52&gt;0,Data!A52,"")</f>
        <v>32</v>
      </c>
      <c r="B52" s="109">
        <f>IF(A52&gt;0,IF(Data!$F$5="lb",Data!B52/2.204,Data!B52),"")</f>
        <v>97.5087576033632</v>
      </c>
      <c r="C52" s="109">
        <f>IF(A52&gt;0,Data!C52,"")</f>
        <v>0.9117693305015564</v>
      </c>
      <c r="D52" s="110">
        <f>IF(A52&gt;0,Data!D52,"")</f>
        <v>27.44162368774414</v>
      </c>
      <c r="E52" s="143">
        <f t="shared" si="3"/>
        <v>-0.3015903217750374</v>
      </c>
      <c r="F52" s="144">
        <f t="shared" si="4"/>
        <v>19.310990636280017</v>
      </c>
      <c r="G52" s="145">
        <f t="shared" si="5"/>
        <v>-8.586517716714901</v>
      </c>
      <c r="H52" s="111">
        <f>IF(A52&gt;0,IF(Data!$F$4="F",(Data!F52-32)/1.8,Data!F52),"")</f>
        <v>118.79478454589844</v>
      </c>
      <c r="I52" s="123">
        <f>IF(A52&gt;0,IF(Data!$F$4="F",(Data!G52-32)/1.8,Data!G52),"")</f>
        <v>26.289418538411457</v>
      </c>
      <c r="J52" s="136">
        <f t="shared" si="6"/>
        <v>0.9713980139139791</v>
      </c>
      <c r="K52" s="128">
        <f t="shared" si="7"/>
        <v>0.8655360043513484</v>
      </c>
      <c r="L52" s="128">
        <f t="shared" si="8"/>
        <v>0.8407799555979408</v>
      </c>
      <c r="M52" s="155">
        <f t="shared" si="9"/>
        <v>4.3017961152571065</v>
      </c>
      <c r="N52" s="130">
        <f t="shared" si="10"/>
        <v>97.5087576033632</v>
      </c>
      <c r="O52" s="130">
        <f t="shared" si="11"/>
        <v>16.714733468527175</v>
      </c>
      <c r="P52" s="130">
        <f t="shared" si="12"/>
        <v>78.81632877079848</v>
      </c>
      <c r="Q52" s="130">
        <f t="shared" si="13"/>
        <v>16.71473346852717</v>
      </c>
      <c r="R52" s="129">
        <f t="shared" si="37"/>
        <v>11265.513391088482</v>
      </c>
      <c r="S52" s="130">
        <f t="shared" si="14"/>
        <v>4.166666666666667</v>
      </c>
      <c r="T52" s="130">
        <f t="shared" si="15"/>
        <v>6.6</v>
      </c>
      <c r="U52" s="134">
        <f t="shared" si="38"/>
        <v>2.68125</v>
      </c>
      <c r="V52" s="130">
        <f t="shared" si="16"/>
        <v>19887</v>
      </c>
      <c r="W52" s="130">
        <f t="shared" si="17"/>
        <v>19.17</v>
      </c>
      <c r="X52" s="130">
        <f t="shared" si="18"/>
        <v>80.2331246984692</v>
      </c>
      <c r="Y52" s="130">
        <f t="shared" si="19"/>
        <v>21.281995941238513</v>
      </c>
      <c r="Z52" s="130">
        <f t="shared" si="20"/>
        <v>6.839614422024227</v>
      </c>
      <c r="AA52" s="130">
        <f t="shared" si="21"/>
        <v>22.28072677896944</v>
      </c>
      <c r="AB52" s="130">
        <f t="shared" si="22"/>
        <v>0.14500040685525306</v>
      </c>
      <c r="AC52" s="130">
        <f t="shared" si="23"/>
        <v>0.6805416349914106</v>
      </c>
      <c r="AD52" s="130">
        <f t="shared" si="24"/>
        <v>40.32321062632779</v>
      </c>
      <c r="AE52" s="130">
        <f t="shared" si="25"/>
        <v>-12.617182072663747</v>
      </c>
      <c r="AF52" s="130">
        <f t="shared" si="26"/>
        <v>1.3397700943206277</v>
      </c>
      <c r="AG52" s="130">
        <f t="shared" si="27"/>
        <v>0.21306618052411028</v>
      </c>
      <c r="AH52" s="130">
        <f t="shared" si="28"/>
        <v>117.89598251322543</v>
      </c>
      <c r="AI52" s="130">
        <f t="shared" si="29"/>
        <v>32.73969678468042</v>
      </c>
      <c r="AJ52" s="130">
        <f t="shared" si="30"/>
        <v>13.175906470369913</v>
      </c>
      <c r="AK52" s="130">
        <f t="shared" si="39"/>
        <v>391.9447845458984</v>
      </c>
      <c r="AL52" s="130">
        <f t="shared" si="31"/>
        <v>3659.981368853744</v>
      </c>
      <c r="AM52" s="130">
        <f t="shared" si="32"/>
        <v>2765.2840818240065</v>
      </c>
      <c r="AN52" s="130">
        <f t="shared" si="33"/>
        <v>2691.709648018066</v>
      </c>
      <c r="AO52" s="130">
        <f t="shared" si="34"/>
        <v>2661.313796465486</v>
      </c>
      <c r="AP52" s="130">
        <f t="shared" si="35"/>
        <v>3499.4555807513393</v>
      </c>
      <c r="AQ52" s="130">
        <f t="shared" si="36"/>
        <v>3221.9105556006257</v>
      </c>
      <c r="AR52" s="130">
        <f t="shared" si="40"/>
        <v>299.4394185384114</v>
      </c>
      <c r="AS52" s="130">
        <f t="shared" si="41"/>
        <v>147.58219962472504</v>
      </c>
      <c r="AT52" s="130">
        <f t="shared" si="42"/>
        <v>-34.89009274301229</v>
      </c>
      <c r="AU52" s="130">
        <f t="shared" si="43"/>
        <v>382.7518303910863</v>
      </c>
      <c r="AV52" s="130">
        <f t="shared" si="44"/>
        <v>313.7582048103005</v>
      </c>
      <c r="AW52" s="130">
        <f t="shared" si="45"/>
        <v>190.40775462512437</v>
      </c>
      <c r="AX52" s="130">
        <f t="shared" si="46"/>
        <v>1545.0161025833388</v>
      </c>
      <c r="AY52" s="130">
        <f t="shared" si="47"/>
        <v>621.7830237321862</v>
      </c>
      <c r="AZ52" s="130">
        <f t="shared" si="48"/>
        <v>3166.409023023749</v>
      </c>
      <c r="BA52" s="130">
        <f t="shared" si="49"/>
        <v>1793.695542341099</v>
      </c>
      <c r="BB52" s="129">
        <f t="shared" si="50"/>
        <v>322.2155331505595</v>
      </c>
      <c r="BC52" s="130">
        <f t="shared" si="51"/>
        <v>1471.4800091905395</v>
      </c>
      <c r="BD52" s="129">
        <f t="shared" si="52"/>
        <v>9471.817848747382</v>
      </c>
      <c r="BE52" s="129">
        <f t="shared" si="53"/>
        <v>322.21605726379465</v>
      </c>
      <c r="BF52" s="130">
        <f t="shared" si="54"/>
        <v>21.2505426801111</v>
      </c>
      <c r="BG52" s="137">
        <f t="shared" si="55"/>
        <v>1.9311509306642047</v>
      </c>
      <c r="BH52" s="47"/>
      <c r="BI52" s="47"/>
      <c r="BJ52" s="47"/>
    </row>
    <row r="53" spans="1:62" ht="16.5" thickBot="1">
      <c r="A53" s="108">
        <f>IF(Data!A53&gt;0,Data!A53,"")</f>
        <v>33</v>
      </c>
      <c r="B53" s="109">
        <f>IF(A53&gt;0,IF(Data!$F$5="lb",Data!B53/2.204,Data!B53),"")</f>
        <v>96.9695837225109</v>
      </c>
      <c r="C53" s="109">
        <f>IF(A53&gt;0,Data!C53,"")</f>
        <v>0.9490154981613159</v>
      </c>
      <c r="D53" s="110">
        <f>IF(A53&gt;0,Data!D53,"")</f>
        <v>27.441654205322266</v>
      </c>
      <c r="E53" s="143">
        <f t="shared" si="3"/>
        <v>-0.3025073271861176</v>
      </c>
      <c r="F53" s="144">
        <f t="shared" si="4"/>
        <v>19.308848950124084</v>
      </c>
      <c r="G53" s="145">
        <f t="shared" si="5"/>
        <v>-8.60731300427884</v>
      </c>
      <c r="H53" s="111">
        <f>IF(A53&gt;0,IF(Data!$F$4="F",(Data!F53-32)/1.8,Data!F53),"")</f>
        <v>118.6584726969401</v>
      </c>
      <c r="I53" s="123">
        <f>IF(A53&gt;0,IF(Data!$F$4="F",(Data!G53-32)/1.8,Data!G53),"")</f>
        <v>26.406868828667534</v>
      </c>
      <c r="J53" s="136">
        <f t="shared" si="6"/>
        <v>0.9703085794717763</v>
      </c>
      <c r="K53" s="128">
        <f t="shared" si="7"/>
        <v>0.8655365101362763</v>
      </c>
      <c r="L53" s="128">
        <f t="shared" si="8"/>
        <v>0.839837501631289</v>
      </c>
      <c r="M53" s="155">
        <f t="shared" si="9"/>
        <v>4.294481605951124</v>
      </c>
      <c r="N53" s="130">
        <f t="shared" si="10"/>
        <v>96.9695837225109</v>
      </c>
      <c r="O53" s="130">
        <f t="shared" si="11"/>
        <v>17.17525867136334</v>
      </c>
      <c r="P53" s="130">
        <f t="shared" si="12"/>
        <v>78.38051452290557</v>
      </c>
      <c r="Q53" s="130">
        <f t="shared" si="13"/>
        <v>17.17525867136334</v>
      </c>
      <c r="R53" s="129">
        <f t="shared" si="37"/>
        <v>11478.519601134252</v>
      </c>
      <c r="S53" s="130">
        <f t="shared" si="14"/>
        <v>4.166666666666667</v>
      </c>
      <c r="T53" s="130">
        <f t="shared" si="15"/>
        <v>6.6</v>
      </c>
      <c r="U53" s="134">
        <f t="shared" si="38"/>
        <v>2.68125</v>
      </c>
      <c r="V53" s="130">
        <f t="shared" si="16"/>
        <v>19887</v>
      </c>
      <c r="W53" s="130">
        <f t="shared" si="17"/>
        <v>19.17</v>
      </c>
      <c r="X53" s="130">
        <f t="shared" si="18"/>
        <v>80.21664330079525</v>
      </c>
      <c r="Y53" s="130">
        <f t="shared" si="19"/>
        <v>21.277624217717573</v>
      </c>
      <c r="Z53" s="130">
        <f t="shared" si="20"/>
        <v>6.849856510519711</v>
      </c>
      <c r="AA53" s="130">
        <f t="shared" si="21"/>
        <v>22.303728304017945</v>
      </c>
      <c r="AB53" s="130">
        <f t="shared" si="22"/>
        <v>0.15039909034855015</v>
      </c>
      <c r="AC53" s="130">
        <f t="shared" si="23"/>
        <v>0.6815607227967113</v>
      </c>
      <c r="AD53" s="130">
        <f t="shared" si="24"/>
        <v>40.262963060310135</v>
      </c>
      <c r="AE53" s="130">
        <f t="shared" si="25"/>
        <v>-12.628827801226066</v>
      </c>
      <c r="AF53" s="130">
        <f t="shared" si="26"/>
        <v>1.3924151824171038</v>
      </c>
      <c r="AG53" s="130">
        <f t="shared" si="27"/>
        <v>0.2206686584452866</v>
      </c>
      <c r="AH53" s="130">
        <f t="shared" si="28"/>
        <v>117.69551944195796</v>
      </c>
      <c r="AI53" s="130">
        <f t="shared" si="29"/>
        <v>32.72449182883806</v>
      </c>
      <c r="AJ53" s="130">
        <f t="shared" si="30"/>
        <v>13.175906470369913</v>
      </c>
      <c r="AK53" s="130">
        <f t="shared" si="39"/>
        <v>391.80847269694004</v>
      </c>
      <c r="AL53" s="130">
        <f t="shared" si="31"/>
        <v>3649.9160216815335</v>
      </c>
      <c r="AM53" s="130">
        <f t="shared" si="32"/>
        <v>2757.690482066105</v>
      </c>
      <c r="AN53" s="130">
        <f t="shared" si="33"/>
        <v>2684.3208367911034</v>
      </c>
      <c r="AO53" s="130">
        <f t="shared" si="34"/>
        <v>2654.0078456021115</v>
      </c>
      <c r="AP53" s="130">
        <f t="shared" si="35"/>
        <v>3489.8071002617144</v>
      </c>
      <c r="AQ53" s="130">
        <f t="shared" si="36"/>
        <v>3213.067202109386</v>
      </c>
      <c r="AR53" s="130">
        <f t="shared" si="40"/>
        <v>299.5568688286675</v>
      </c>
      <c r="AS53" s="130">
        <f t="shared" si="41"/>
        <v>146.9564339541977</v>
      </c>
      <c r="AT53" s="130">
        <f t="shared" si="42"/>
        <v>-34.82639822709294</v>
      </c>
      <c r="AU53" s="130">
        <f t="shared" si="43"/>
        <v>397.78143880539005</v>
      </c>
      <c r="AV53" s="130">
        <f t="shared" si="44"/>
        <v>312.36483199117225</v>
      </c>
      <c r="AW53" s="130">
        <f t="shared" si="45"/>
        <v>197.19962137807013</v>
      </c>
      <c r="AX53" s="130">
        <f t="shared" si="46"/>
        <v>1544.009172623117</v>
      </c>
      <c r="AY53" s="130">
        <f t="shared" si="47"/>
        <v>621.6665045337012</v>
      </c>
      <c r="AZ53" s="130">
        <f t="shared" si="48"/>
        <v>3185.151605058555</v>
      </c>
      <c r="BA53" s="130">
        <f t="shared" si="49"/>
        <v>1838.4283768918815</v>
      </c>
      <c r="BB53" s="129">
        <f t="shared" si="50"/>
        <v>340.81299999978796</v>
      </c>
      <c r="BC53" s="130">
        <f t="shared" si="51"/>
        <v>1497.6153768920935</v>
      </c>
      <c r="BD53" s="129">
        <f t="shared" si="52"/>
        <v>9640.091224242371</v>
      </c>
      <c r="BE53" s="129">
        <f t="shared" si="53"/>
        <v>340.8135525187364</v>
      </c>
      <c r="BF53" s="130">
        <f t="shared" si="54"/>
        <v>22.503153768802044</v>
      </c>
      <c r="BG53" s="137">
        <f t="shared" si="55"/>
        <v>2.037873602912634</v>
      </c>
      <c r="BH53" s="47"/>
      <c r="BI53" s="47"/>
      <c r="BJ53" s="47"/>
    </row>
    <row r="54" spans="1:62" ht="16.5" thickBot="1">
      <c r="A54" s="108">
        <f>IF(Data!A54&gt;0,Data!A54,"")</f>
        <v>34</v>
      </c>
      <c r="B54" s="109">
        <f>IF(A54&gt;0,IF(Data!$F$5="lb",Data!B54/2.204,Data!B54),"")</f>
        <v>96.08060694865868</v>
      </c>
      <c r="C54" s="109">
        <f>IF(A54&gt;0,Data!C54,"")</f>
        <v>1.077176570892334</v>
      </c>
      <c r="D54" s="110">
        <f>IF(A54&gt;0,Data!D54,"")</f>
        <v>27.441654205322266</v>
      </c>
      <c r="E54" s="143">
        <f t="shared" si="3"/>
        <v>-0.3056417968237862</v>
      </c>
      <c r="F54" s="144">
        <f t="shared" si="4"/>
        <v>19.3014856131362</v>
      </c>
      <c r="G54" s="145">
        <f t="shared" si="5"/>
        <v>-8.678756877632232</v>
      </c>
      <c r="H54" s="111">
        <f>IF(A54&gt;0,IF(Data!$F$4="F",(Data!F54-32)/1.8,Data!F54),"")</f>
        <v>118.06318495008681</v>
      </c>
      <c r="I54" s="123">
        <f>IF(A54&gt;0,IF(Data!$F$4="F",(Data!G54-32)/1.8,Data!G54),"")</f>
        <v>26.53222401936849</v>
      </c>
      <c r="J54" s="136">
        <f t="shared" si="6"/>
        <v>0.9665845763838823</v>
      </c>
      <c r="K54" s="128">
        <f t="shared" si="7"/>
        <v>0.8654911816822839</v>
      </c>
      <c r="L54" s="128">
        <f t="shared" si="8"/>
        <v>0.836570427210356</v>
      </c>
      <c r="M54" s="155">
        <f t="shared" si="9"/>
        <v>4.269494568439551</v>
      </c>
      <c r="N54" s="130">
        <f t="shared" si="10"/>
        <v>96.08060694865868</v>
      </c>
      <c r="O54" s="130">
        <f t="shared" si="11"/>
        <v>17.93456141883284</v>
      </c>
      <c r="P54" s="130">
        <f t="shared" si="12"/>
        <v>77.66195459660082</v>
      </c>
      <c r="Q54" s="130">
        <f t="shared" si="13"/>
        <v>17.93456141883284</v>
      </c>
      <c r="R54" s="129">
        <f t="shared" si="37"/>
        <v>14049.284205138718</v>
      </c>
      <c r="S54" s="130">
        <f t="shared" si="14"/>
        <v>4.166666666666667</v>
      </c>
      <c r="T54" s="130">
        <f t="shared" si="15"/>
        <v>6.6</v>
      </c>
      <c r="U54" s="134">
        <f t="shared" si="38"/>
        <v>2.68125</v>
      </c>
      <c r="V54" s="130">
        <f t="shared" si="16"/>
        <v>19887</v>
      </c>
      <c r="W54" s="130">
        <f t="shared" si="17"/>
        <v>19.17</v>
      </c>
      <c r="X54" s="130">
        <f t="shared" si="18"/>
        <v>80.15992610141762</v>
      </c>
      <c r="Y54" s="130">
        <f t="shared" si="19"/>
        <v>21.262579867750034</v>
      </c>
      <c r="Z54" s="130">
        <f t="shared" si="20"/>
        <v>6.885073470358287</v>
      </c>
      <c r="AA54" s="130">
        <f t="shared" si="21"/>
        <v>22.38279175162582</v>
      </c>
      <c r="AB54" s="130">
        <f t="shared" si="22"/>
        <v>0.16897535027826294</v>
      </c>
      <c r="AC54" s="130">
        <f t="shared" si="23"/>
        <v>0.6850648103006496</v>
      </c>
      <c r="AD54" s="130">
        <f t="shared" si="24"/>
        <v>40.05701912097797</v>
      </c>
      <c r="AE54" s="130">
        <f t="shared" si="25"/>
        <v>-12.668519455587635</v>
      </c>
      <c r="AF54" s="130">
        <f t="shared" si="26"/>
        <v>1.5723717737298477</v>
      </c>
      <c r="AG54" s="130">
        <f t="shared" si="27"/>
        <v>0.24665600646471086</v>
      </c>
      <c r="AH54" s="130">
        <f t="shared" si="28"/>
        <v>117.01071912632383</v>
      </c>
      <c r="AI54" s="130">
        <f t="shared" si="29"/>
        <v>32.67251713279922</v>
      </c>
      <c r="AJ54" s="130">
        <f t="shared" si="30"/>
        <v>13.175906470369913</v>
      </c>
      <c r="AK54" s="130">
        <f t="shared" si="39"/>
        <v>391.21318495008677</v>
      </c>
      <c r="AL54" s="130">
        <f t="shared" si="31"/>
        <v>3620.7802358345593</v>
      </c>
      <c r="AM54" s="130">
        <f t="shared" si="32"/>
        <v>2735.9546387316796</v>
      </c>
      <c r="AN54" s="130">
        <f t="shared" si="33"/>
        <v>2663.2312587198394</v>
      </c>
      <c r="AO54" s="130">
        <f t="shared" si="34"/>
        <v>2633.1421598666534</v>
      </c>
      <c r="AP54" s="130">
        <f t="shared" si="35"/>
        <v>3461.3413585479825</v>
      </c>
      <c r="AQ54" s="130">
        <f t="shared" si="36"/>
        <v>3187.845059176422</v>
      </c>
      <c r="AR54" s="130">
        <f t="shared" si="40"/>
        <v>299.68222401936845</v>
      </c>
      <c r="AS54" s="130">
        <f t="shared" si="41"/>
        <v>145.03766313968407</v>
      </c>
      <c r="AT54" s="130">
        <f t="shared" si="42"/>
        <v>-34.66049457037752</v>
      </c>
      <c r="AU54" s="130">
        <f t="shared" si="43"/>
        <v>449.15779502125685</v>
      </c>
      <c r="AV54" s="130">
        <f t="shared" si="44"/>
        <v>308.1058576878387</v>
      </c>
      <c r="AW54" s="130">
        <f t="shared" si="45"/>
        <v>220.41608472711175</v>
      </c>
      <c r="AX54" s="130">
        <f t="shared" si="46"/>
        <v>1540.7328281246998</v>
      </c>
      <c r="AY54" s="130">
        <f t="shared" si="47"/>
        <v>621.3341799374341</v>
      </c>
      <c r="AZ54" s="130">
        <f t="shared" si="48"/>
        <v>3250.123914067648</v>
      </c>
      <c r="BA54" s="130">
        <f t="shared" si="49"/>
        <v>2296.0685156461122</v>
      </c>
      <c r="BB54" s="129">
        <f t="shared" si="50"/>
        <v>469.4620295715241</v>
      </c>
      <c r="BC54" s="130">
        <f t="shared" si="51"/>
        <v>1826.6064860745882</v>
      </c>
      <c r="BD54" s="129">
        <f t="shared" si="52"/>
        <v>11753.215689492605</v>
      </c>
      <c r="BE54" s="129">
        <f t="shared" si="53"/>
        <v>469.4627832179412</v>
      </c>
      <c r="BF54" s="130">
        <f t="shared" si="54"/>
        <v>31.102707392141777</v>
      </c>
      <c r="BG54" s="137">
        <f t="shared" si="55"/>
        <v>2.7880246076148283</v>
      </c>
      <c r="BH54" s="47"/>
      <c r="BI54" s="47"/>
      <c r="BJ54" s="47"/>
    </row>
    <row r="55" spans="1:62" ht="16.5" thickBot="1">
      <c r="A55" s="108">
        <f>IF(Data!A55&gt;0,Data!A55,"")</f>
        <v>35</v>
      </c>
      <c r="B55" s="109">
        <f>IF(A55&gt;0,IF(Data!$F$5="lb",Data!B55/2.204,Data!B55),"")</f>
        <v>95.2215800484382</v>
      </c>
      <c r="C55" s="109">
        <f>IF(A55&gt;0,Data!C55,"")</f>
        <v>1.0298963785171509</v>
      </c>
      <c r="D55" s="110">
        <f>IF(A55&gt;0,Data!D55,"")</f>
        <v>27.441837310791016</v>
      </c>
      <c r="E55" s="143">
        <f t="shared" si="3"/>
        <v>-0.3044932103346022</v>
      </c>
      <c r="F55" s="144">
        <f t="shared" si="4"/>
        <v>19.304191518405634</v>
      </c>
      <c r="G55" s="145">
        <f t="shared" si="5"/>
        <v>-8.652593981643957</v>
      </c>
      <c r="H55" s="111">
        <f>IF(A55&gt;0,IF(Data!$F$4="F",(Data!F55-32)/1.8,Data!F55),"")</f>
        <v>118.23123508029514</v>
      </c>
      <c r="I55" s="123">
        <f>IF(A55&gt;0,IF(Data!$F$4="F",(Data!G55-32)/1.8,Data!G55),"")</f>
        <v>26.319910685221352</v>
      </c>
      <c r="J55" s="136">
        <f t="shared" si="6"/>
        <v>0.9679541488331225</v>
      </c>
      <c r="K55" s="128">
        <f t="shared" si="7"/>
        <v>0.8654719714165051</v>
      </c>
      <c r="L55" s="128">
        <f t="shared" si="8"/>
        <v>0.8377371854313879</v>
      </c>
      <c r="M55" s="155">
        <f t="shared" si="9"/>
        <v>4.278655935587675</v>
      </c>
      <c r="N55" s="130">
        <f t="shared" si="10"/>
        <v>95.2215800484382</v>
      </c>
      <c r="O55" s="130">
        <f t="shared" si="11"/>
        <v>18.668283046520774</v>
      </c>
      <c r="P55" s="130">
        <f t="shared" si="12"/>
        <v>76.9676031531526</v>
      </c>
      <c r="Q55" s="130">
        <f t="shared" si="13"/>
        <v>18.668283046520784</v>
      </c>
      <c r="R55" s="129">
        <f t="shared" si="37"/>
        <v>10623.489971153344</v>
      </c>
      <c r="S55" s="130">
        <f t="shared" si="14"/>
        <v>4.166666666666667</v>
      </c>
      <c r="T55" s="130">
        <f t="shared" si="15"/>
        <v>6.6</v>
      </c>
      <c r="U55" s="134">
        <f t="shared" si="38"/>
        <v>2.68125</v>
      </c>
      <c r="V55" s="130">
        <f t="shared" si="16"/>
        <v>19887</v>
      </c>
      <c r="W55" s="130">
        <f t="shared" si="17"/>
        <v>19.17</v>
      </c>
      <c r="X55" s="130">
        <f t="shared" si="18"/>
        <v>80.1808602923358</v>
      </c>
      <c r="Y55" s="130">
        <f t="shared" si="19"/>
        <v>21.268132703537347</v>
      </c>
      <c r="Z55" s="130">
        <f t="shared" si="20"/>
        <v>6.872125520931513</v>
      </c>
      <c r="AA55" s="130">
        <f t="shared" si="21"/>
        <v>22.353768923261047</v>
      </c>
      <c r="AB55" s="130">
        <f t="shared" si="22"/>
        <v>0.16212264790647168</v>
      </c>
      <c r="AC55" s="130">
        <f t="shared" si="23"/>
        <v>0.6837764893326855</v>
      </c>
      <c r="AD55" s="130">
        <f t="shared" si="24"/>
        <v>40.132759372250696</v>
      </c>
      <c r="AE55" s="130">
        <f t="shared" si="25"/>
        <v>-12.654126189814216</v>
      </c>
      <c r="AF55" s="130">
        <f t="shared" si="26"/>
        <v>1.5061886370533921</v>
      </c>
      <c r="AG55" s="130">
        <f t="shared" si="27"/>
        <v>0.23709889186843966</v>
      </c>
      <c r="AH55" s="130">
        <f t="shared" si="28"/>
        <v>117.26179759498062</v>
      </c>
      <c r="AI55" s="130">
        <f t="shared" si="29"/>
        <v>32.69163136199176</v>
      </c>
      <c r="AJ55" s="130">
        <f t="shared" si="30"/>
        <v>13.175906470369913</v>
      </c>
      <c r="AK55" s="130">
        <f t="shared" si="39"/>
        <v>391.38123508029514</v>
      </c>
      <c r="AL55" s="130">
        <f t="shared" si="31"/>
        <v>3635.76765725434</v>
      </c>
      <c r="AM55" s="130">
        <f t="shared" si="32"/>
        <v>2747.305786901099</v>
      </c>
      <c r="AN55" s="130">
        <f t="shared" si="33"/>
        <v>2674.28711576705</v>
      </c>
      <c r="AO55" s="130">
        <f t="shared" si="34"/>
        <v>2644.0717590214394</v>
      </c>
      <c r="AP55" s="130">
        <f t="shared" si="35"/>
        <v>3475.611298381966</v>
      </c>
      <c r="AQ55" s="130">
        <f t="shared" si="36"/>
        <v>3201.0807830341437</v>
      </c>
      <c r="AR55" s="130">
        <f t="shared" si="40"/>
        <v>299.46991068522135</v>
      </c>
      <c r="AS55" s="130">
        <f t="shared" si="41"/>
        <v>145.91338852200008</v>
      </c>
      <c r="AT55" s="130">
        <f t="shared" si="42"/>
        <v>-34.76475410945335</v>
      </c>
      <c r="AU55" s="130">
        <f t="shared" si="43"/>
        <v>430.26882183163724</v>
      </c>
      <c r="AV55" s="130">
        <f t="shared" si="44"/>
        <v>310.0486074329764</v>
      </c>
      <c r="AW55" s="130">
        <f t="shared" si="45"/>
        <v>211.87906477745454</v>
      </c>
      <c r="AX55" s="130">
        <f t="shared" si="46"/>
        <v>1542.066892274324</v>
      </c>
      <c r="AY55" s="130">
        <f t="shared" si="47"/>
        <v>621.5085725970512</v>
      </c>
      <c r="AZ55" s="130">
        <f t="shared" si="48"/>
        <v>3226.92059332599</v>
      </c>
      <c r="BA55" s="130">
        <f t="shared" si="49"/>
        <v>1723.7973832607659</v>
      </c>
      <c r="BB55" s="129">
        <f t="shared" si="50"/>
        <v>340.43823013101974</v>
      </c>
      <c r="BC55" s="130">
        <f t="shared" si="51"/>
        <v>1383.3591531297461</v>
      </c>
      <c r="BD55" s="129">
        <f t="shared" si="52"/>
        <v>8899.692587892578</v>
      </c>
      <c r="BE55" s="129">
        <f t="shared" si="53"/>
        <v>340.43877848839605</v>
      </c>
      <c r="BF55" s="130">
        <f t="shared" si="54"/>
        <v>22.52865875452564</v>
      </c>
      <c r="BG55" s="137">
        <f t="shared" si="55"/>
        <v>2.026503907023434</v>
      </c>
      <c r="BH55" s="47"/>
      <c r="BI55" s="47"/>
      <c r="BJ55" s="47"/>
    </row>
    <row r="56" spans="1:62" ht="16.5" thickBot="1">
      <c r="A56" s="108">
        <f>IF(Data!A56&gt;0,Data!A56,"")</f>
        <v>36</v>
      </c>
      <c r="B56" s="109">
        <f>IF(A56&gt;0,IF(Data!$F$5="lb",Data!B56/2.204,Data!B56),"")</f>
        <v>94.75883857740897</v>
      </c>
      <c r="C56" s="109">
        <f>IF(A56&gt;0,Data!C56,"")</f>
        <v>0.9490033388137817</v>
      </c>
      <c r="D56" s="110">
        <f>IF(A56&gt;0,Data!D56,"")</f>
        <v>27.44168472290039</v>
      </c>
      <c r="E56" s="143">
        <f t="shared" si="3"/>
        <v>-0.3025077782048212</v>
      </c>
      <c r="F56" s="144">
        <f t="shared" si="4"/>
        <v>19.308847895374495</v>
      </c>
      <c r="G56" s="145">
        <f t="shared" si="5"/>
        <v>-8.607338496932787</v>
      </c>
      <c r="H56" s="111">
        <f>IF(A56&gt;0,IF(Data!$F$4="F",(Data!F56-32)/1.8,Data!F56),"")</f>
        <v>118.33136664496527</v>
      </c>
      <c r="I56" s="123">
        <f>IF(A56&gt;0,IF(Data!$F$4="F",(Data!G56-32)/1.8,Data!G56),"")</f>
        <v>26.18935055202908</v>
      </c>
      <c r="J56" s="136">
        <f t="shared" si="6"/>
        <v>0.9703089630359714</v>
      </c>
      <c r="K56" s="128">
        <f t="shared" si="7"/>
        <v>0.8655747366222204</v>
      </c>
      <c r="L56" s="128">
        <f t="shared" si="8"/>
        <v>0.8398749251220406</v>
      </c>
      <c r="M56" s="155">
        <f t="shared" si="9"/>
        <v>4.294479483064937</v>
      </c>
      <c r="N56" s="130">
        <f t="shared" si="10"/>
        <v>94.75883857740897</v>
      </c>
      <c r="O56" s="130">
        <f t="shared" si="11"/>
        <v>19.063524947833915</v>
      </c>
      <c r="P56" s="130">
        <f t="shared" si="12"/>
        <v>76.59356922211967</v>
      </c>
      <c r="Q56" s="130">
        <f t="shared" si="13"/>
        <v>19.063524947833923</v>
      </c>
      <c r="R56" s="129">
        <f t="shared" si="37"/>
        <v>11528.376854060502</v>
      </c>
      <c r="S56" s="130">
        <f t="shared" si="14"/>
        <v>4.166666666666667</v>
      </c>
      <c r="T56" s="130">
        <f t="shared" si="15"/>
        <v>6.6</v>
      </c>
      <c r="U56" s="134">
        <f t="shared" si="38"/>
        <v>2.68125</v>
      </c>
      <c r="V56" s="130">
        <f t="shared" si="16"/>
        <v>19887</v>
      </c>
      <c r="W56" s="130">
        <f t="shared" si="17"/>
        <v>19.17</v>
      </c>
      <c r="X56" s="130">
        <f t="shared" si="18"/>
        <v>80.21665043521861</v>
      </c>
      <c r="Y56" s="130">
        <f t="shared" si="19"/>
        <v>21.27762611013756</v>
      </c>
      <c r="Z56" s="130">
        <f t="shared" si="20"/>
        <v>6.849860505825834</v>
      </c>
      <c r="AA56" s="130">
        <f t="shared" si="21"/>
        <v>22.303744910771638</v>
      </c>
      <c r="AB56" s="130">
        <f t="shared" si="22"/>
        <v>0.1503973792268063</v>
      </c>
      <c r="AC56" s="130">
        <f t="shared" si="23"/>
        <v>0.6815611203296705</v>
      </c>
      <c r="AD56" s="130">
        <f t="shared" si="24"/>
        <v>40.26298435219848</v>
      </c>
      <c r="AE56" s="130">
        <f t="shared" si="25"/>
        <v>-12.628857838559547</v>
      </c>
      <c r="AF56" s="130">
        <f t="shared" si="26"/>
        <v>1.392396529829562</v>
      </c>
      <c r="AG56" s="130">
        <f t="shared" si="27"/>
        <v>0.22066601914448877</v>
      </c>
      <c r="AH56" s="130">
        <f t="shared" si="28"/>
        <v>117.69546126166628</v>
      </c>
      <c r="AI56" s="130">
        <f t="shared" si="29"/>
        <v>32.72449710743966</v>
      </c>
      <c r="AJ56" s="130">
        <f t="shared" si="30"/>
        <v>13.175906470369913</v>
      </c>
      <c r="AK56" s="130">
        <f t="shared" si="39"/>
        <v>391.48136664496525</v>
      </c>
      <c r="AL56" s="130">
        <f t="shared" si="31"/>
        <v>3644.8525531841738</v>
      </c>
      <c r="AM56" s="130">
        <f t="shared" si="32"/>
        <v>2754.188736386864</v>
      </c>
      <c r="AN56" s="130">
        <f t="shared" si="33"/>
        <v>2680.991559311971</v>
      </c>
      <c r="AO56" s="130">
        <f t="shared" si="34"/>
        <v>2650.6995227785474</v>
      </c>
      <c r="AP56" s="130">
        <f t="shared" si="35"/>
        <v>3484.2563612090016</v>
      </c>
      <c r="AQ56" s="130">
        <f t="shared" si="36"/>
        <v>3209.107305675494</v>
      </c>
      <c r="AR56" s="130">
        <f t="shared" si="40"/>
        <v>299.33935055202903</v>
      </c>
      <c r="AS56" s="130">
        <f t="shared" si="41"/>
        <v>146.75264131492506</v>
      </c>
      <c r="AT56" s="130">
        <f t="shared" si="42"/>
        <v>-34.782258012391665</v>
      </c>
      <c r="AU56" s="130">
        <f t="shared" si="43"/>
        <v>397.7714745097456</v>
      </c>
      <c r="AV56" s="130">
        <f t="shared" si="44"/>
        <v>311.97530299949983</v>
      </c>
      <c r="AW56" s="130">
        <f t="shared" si="45"/>
        <v>197.1960379184884</v>
      </c>
      <c r="AX56" s="130">
        <f t="shared" si="46"/>
        <v>1543.8798360590556</v>
      </c>
      <c r="AY56" s="130">
        <f t="shared" si="47"/>
        <v>621.6143293086559</v>
      </c>
      <c r="AZ56" s="130">
        <f t="shared" si="48"/>
        <v>3184.4073640979786</v>
      </c>
      <c r="BA56" s="130">
        <f t="shared" si="49"/>
        <v>1845.9822069777717</v>
      </c>
      <c r="BB56" s="129">
        <f t="shared" si="50"/>
        <v>342.2889083967396</v>
      </c>
      <c r="BC56" s="130">
        <f t="shared" si="51"/>
        <v>1503.6932985810322</v>
      </c>
      <c r="BD56" s="129">
        <f t="shared" si="52"/>
        <v>9682.39464708273</v>
      </c>
      <c r="BE56" s="129">
        <f t="shared" si="53"/>
        <v>342.2894633091633</v>
      </c>
      <c r="BF56" s="130">
        <f t="shared" si="54"/>
        <v>22.600594053025393</v>
      </c>
      <c r="BG56" s="137">
        <f t="shared" si="55"/>
        <v>2.0467006809135584</v>
      </c>
      <c r="BH56" s="47"/>
      <c r="BI56" s="47"/>
      <c r="BJ56" s="47"/>
    </row>
    <row r="57" spans="1:62" ht="16.5" thickBot="1">
      <c r="A57" s="108">
        <f>IF(Data!A57&gt;0,Data!A57,"")</f>
        <v>37</v>
      </c>
      <c r="B57" s="109">
        <f>IF(A57&gt;0,IF(Data!$F$5="lb",Data!B57/2.204,Data!B57),"")</f>
        <v>93.78722618366109</v>
      </c>
      <c r="C57" s="109">
        <f>IF(A57&gt;0,Data!C57,"")</f>
        <v>0.7942153215408325</v>
      </c>
      <c r="D57" s="110">
        <f>IF(A57&gt;0,Data!D57,"")</f>
        <v>27.441959381103516</v>
      </c>
      <c r="E57" s="143">
        <f t="shared" si="3"/>
        <v>-0.29869097698264446</v>
      </c>
      <c r="F57" s="144">
        <f t="shared" si="4"/>
        <v>19.317725270600192</v>
      </c>
      <c r="G57" s="145">
        <f t="shared" si="5"/>
        <v>-8.52134177127374</v>
      </c>
      <c r="H57" s="111">
        <f>IF(A57&gt;0,IF(Data!$F$4="F",(Data!F57-32)/1.8,Data!F57),"")</f>
        <v>118.59225802951389</v>
      </c>
      <c r="I57" s="123">
        <f>IF(A57&gt;0,IF(Data!$F$4="F",(Data!G57-32)/1.8,Data!G57),"")</f>
        <v>26.239369710286457</v>
      </c>
      <c r="J57" s="136">
        <f t="shared" si="6"/>
        <v>0.9748582550012523</v>
      </c>
      <c r="K57" s="128">
        <f t="shared" si="7"/>
        <v>0.8658454547874485</v>
      </c>
      <c r="L57" s="128">
        <f t="shared" si="8"/>
        <v>0.8440765891548577</v>
      </c>
      <c r="M57" s="155">
        <f t="shared" si="9"/>
        <v>4.324961420729086</v>
      </c>
      <c r="N57" s="130">
        <f t="shared" si="10"/>
        <v>93.78722618366109</v>
      </c>
      <c r="O57" s="130">
        <f t="shared" si="11"/>
        <v>19.89340935173266</v>
      </c>
      <c r="P57" s="130">
        <f t="shared" si="12"/>
        <v>75.80821492425326</v>
      </c>
      <c r="Q57" s="130">
        <f t="shared" si="13"/>
        <v>19.89340935173266</v>
      </c>
      <c r="R57" s="129">
        <f t="shared" si="37"/>
        <v>14691.363269329082</v>
      </c>
      <c r="S57" s="130">
        <f t="shared" si="14"/>
        <v>4.166666666666667</v>
      </c>
      <c r="T57" s="130">
        <f t="shared" si="15"/>
        <v>6.6</v>
      </c>
      <c r="U57" s="134">
        <f t="shared" si="38"/>
        <v>2.68125</v>
      </c>
      <c r="V57" s="130">
        <f t="shared" si="16"/>
        <v>19887</v>
      </c>
      <c r="W57" s="130">
        <f t="shared" si="17"/>
        <v>19.17</v>
      </c>
      <c r="X57" s="130">
        <f t="shared" si="18"/>
        <v>80.28516706862939</v>
      </c>
      <c r="Y57" s="130">
        <f t="shared" si="19"/>
        <v>21.29580028345607</v>
      </c>
      <c r="Z57" s="130">
        <f t="shared" si="20"/>
        <v>6.807392844233576</v>
      </c>
      <c r="AA57" s="130">
        <f t="shared" si="21"/>
        <v>22.208472089313023</v>
      </c>
      <c r="AB57" s="130">
        <f t="shared" si="22"/>
        <v>0.12796214832888708</v>
      </c>
      <c r="AC57" s="130">
        <f t="shared" si="23"/>
        <v>0.6773355880012408</v>
      </c>
      <c r="AD57" s="130">
        <f t="shared" si="24"/>
        <v>40.51456894813748</v>
      </c>
      <c r="AE57" s="130">
        <f t="shared" si="25"/>
        <v>-12.58067924117126</v>
      </c>
      <c r="AF57" s="130">
        <f t="shared" si="26"/>
        <v>1.1725580873204873</v>
      </c>
      <c r="AG57" s="130">
        <f t="shared" si="27"/>
        <v>0.18891986571456018</v>
      </c>
      <c r="AH57" s="130">
        <f t="shared" si="28"/>
        <v>118.53085603481138</v>
      </c>
      <c r="AI57" s="130">
        <f t="shared" si="29"/>
        <v>32.78798941429952</v>
      </c>
      <c r="AJ57" s="130">
        <f t="shared" si="30"/>
        <v>13.175906470369913</v>
      </c>
      <c r="AK57" s="130">
        <f t="shared" si="39"/>
        <v>391.7422580295139</v>
      </c>
      <c r="AL57" s="130">
        <f t="shared" si="31"/>
        <v>3653.610350392805</v>
      </c>
      <c r="AM57" s="130">
        <f t="shared" si="32"/>
        <v>2760.621064102979</v>
      </c>
      <c r="AN57" s="130">
        <f t="shared" si="33"/>
        <v>2687.2075582123675</v>
      </c>
      <c r="AO57" s="130">
        <f t="shared" si="34"/>
        <v>2656.8548106824237</v>
      </c>
      <c r="AP57" s="130">
        <f t="shared" si="35"/>
        <v>3493.0342569995614</v>
      </c>
      <c r="AQ57" s="130">
        <f t="shared" si="36"/>
        <v>3216.533363068534</v>
      </c>
      <c r="AR57" s="130">
        <f t="shared" si="40"/>
        <v>299.3893697102864</v>
      </c>
      <c r="AS57" s="130">
        <f t="shared" si="41"/>
        <v>148.02444845061802</v>
      </c>
      <c r="AT57" s="130">
        <f t="shared" si="42"/>
        <v>-34.73048811390046</v>
      </c>
      <c r="AU57" s="130">
        <f t="shared" si="43"/>
        <v>334.97663775977736</v>
      </c>
      <c r="AV57" s="130">
        <f t="shared" si="44"/>
        <v>314.9192750703944</v>
      </c>
      <c r="AW57" s="130">
        <f t="shared" si="45"/>
        <v>168.82805554777877</v>
      </c>
      <c r="AX57" s="130">
        <f t="shared" si="46"/>
        <v>1547.1187684163676</v>
      </c>
      <c r="AY57" s="130">
        <f t="shared" si="47"/>
        <v>621.7121743463101</v>
      </c>
      <c r="AZ57" s="130">
        <f t="shared" si="48"/>
        <v>3100.8488714773457</v>
      </c>
      <c r="BA57" s="130">
        <f t="shared" si="49"/>
        <v>2290.727470918832</v>
      </c>
      <c r="BB57" s="129">
        <f t="shared" si="50"/>
        <v>369.3659006919553</v>
      </c>
      <c r="BC57" s="130">
        <f t="shared" si="51"/>
        <v>1921.3615702268767</v>
      </c>
      <c r="BD57" s="129">
        <f t="shared" si="52"/>
        <v>12400.63579841025</v>
      </c>
      <c r="BE57" s="129">
        <f t="shared" si="53"/>
        <v>369.36650900144105</v>
      </c>
      <c r="BF57" s="130">
        <f t="shared" si="54"/>
        <v>24.254103224519493</v>
      </c>
      <c r="BG57" s="137">
        <f t="shared" si="55"/>
        <v>2.233008800527357</v>
      </c>
      <c r="BH57" s="47"/>
      <c r="BI57" s="47"/>
      <c r="BJ57" s="47"/>
    </row>
    <row r="58" spans="1:62" ht="16.5" thickBot="1">
      <c r="A58" s="108">
        <f>IF(Data!A58&gt;0,Data!A58,"")</f>
        <v>38</v>
      </c>
      <c r="B58" s="109">
        <f>IF(A58&gt;0,IF(Data!$F$5="lb",Data!B58/2.204,Data!B58),"")</f>
        <v>92.93094780397502</v>
      </c>
      <c r="C58" s="109">
        <f>IF(A58&gt;0,Data!C58,"")</f>
        <v>0.6637622117996216</v>
      </c>
      <c r="D58" s="110">
        <f>IF(A58&gt;0,Data!D58,"")</f>
        <v>27.44174575805664</v>
      </c>
      <c r="E58" s="143">
        <f t="shared" si="3"/>
        <v>-0.2954304858785247</v>
      </c>
      <c r="F58" s="144">
        <f t="shared" si="4"/>
        <v>19.32523256720845</v>
      </c>
      <c r="G58" s="145">
        <f t="shared" si="5"/>
        <v>-8.448394296748003</v>
      </c>
      <c r="H58" s="111">
        <f>IF(A58&gt;0,IF(Data!$F$4="F",(Data!F58-32)/1.8,Data!F58),"")</f>
        <v>118.78082275390625</v>
      </c>
      <c r="I58" s="123">
        <f>IF(A58&gt;0,IF(Data!$F$4="F",(Data!G58-32)/1.8,Data!G58),"")</f>
        <v>26.063868204752602</v>
      </c>
      <c r="J58" s="136">
        <f t="shared" si="6"/>
        <v>0.978736356496769</v>
      </c>
      <c r="K58" s="128">
        <f t="shared" si="7"/>
        <v>0.8660149306056077</v>
      </c>
      <c r="L58" s="128">
        <f t="shared" si="8"/>
        <v>0.8476002978527348</v>
      </c>
      <c r="M58" s="155">
        <f t="shared" si="9"/>
        <v>4.351015421624472</v>
      </c>
      <c r="N58" s="130">
        <f t="shared" si="10"/>
        <v>92.93094780397502</v>
      </c>
      <c r="O58" s="130">
        <f t="shared" si="11"/>
        <v>20.62478338243647</v>
      </c>
      <c r="P58" s="130">
        <f t="shared" si="12"/>
        <v>75.116085109953</v>
      </c>
      <c r="Q58" s="130">
        <f t="shared" si="13"/>
        <v>20.624783382436476</v>
      </c>
      <c r="R58" s="129">
        <f t="shared" si="37"/>
        <v>10568.123936933014</v>
      </c>
      <c r="S58" s="130">
        <f t="shared" si="14"/>
        <v>4.166666666666667</v>
      </c>
      <c r="T58" s="130">
        <f t="shared" si="15"/>
        <v>6.6</v>
      </c>
      <c r="U58" s="134">
        <f t="shared" si="38"/>
        <v>2.68125</v>
      </c>
      <c r="V58" s="130">
        <f t="shared" si="16"/>
        <v>19887</v>
      </c>
      <c r="W58" s="130">
        <f t="shared" si="17"/>
        <v>19.17</v>
      </c>
      <c r="X58" s="130">
        <f t="shared" si="18"/>
        <v>80.34288632689174</v>
      </c>
      <c r="Y58" s="130">
        <f t="shared" si="19"/>
        <v>21.31111043153627</v>
      </c>
      <c r="Z58" s="130">
        <f t="shared" si="20"/>
        <v>6.771494707347366</v>
      </c>
      <c r="AA58" s="130">
        <f t="shared" si="21"/>
        <v>22.127825912730774</v>
      </c>
      <c r="AB58" s="130">
        <f t="shared" si="22"/>
        <v>0.10905331075776559</v>
      </c>
      <c r="AC58" s="130">
        <f t="shared" si="23"/>
        <v>0.6737637233810629</v>
      </c>
      <c r="AD58" s="130">
        <f t="shared" si="24"/>
        <v>40.72903423821813</v>
      </c>
      <c r="AE58" s="130">
        <f t="shared" si="25"/>
        <v>-12.539105332582317</v>
      </c>
      <c r="AF58" s="130">
        <f t="shared" si="26"/>
        <v>0.9851557582660402</v>
      </c>
      <c r="AG58" s="130">
        <f t="shared" si="27"/>
        <v>0.16185690468836345</v>
      </c>
      <c r="AH58" s="130">
        <f t="shared" si="28"/>
        <v>119.24489778659682</v>
      </c>
      <c r="AI58" s="130">
        <f t="shared" si="29"/>
        <v>32.84211533635191</v>
      </c>
      <c r="AJ58" s="130">
        <f t="shared" si="30"/>
        <v>13.175906470369913</v>
      </c>
      <c r="AK58" s="130">
        <f t="shared" si="39"/>
        <v>391.9308227539062</v>
      </c>
      <c r="AL58" s="130">
        <f t="shared" si="31"/>
        <v>3668.0308854102886</v>
      </c>
      <c r="AM58" s="130">
        <f t="shared" si="32"/>
        <v>2771.509215778695</v>
      </c>
      <c r="AN58" s="130">
        <f t="shared" si="33"/>
        <v>2697.8042459799185</v>
      </c>
      <c r="AO58" s="130">
        <f t="shared" si="34"/>
        <v>2667.332207611123</v>
      </c>
      <c r="AP58" s="130">
        <f t="shared" si="35"/>
        <v>3506.838132635495</v>
      </c>
      <c r="AQ58" s="130">
        <f t="shared" si="36"/>
        <v>3229.216777591372</v>
      </c>
      <c r="AR58" s="130">
        <f t="shared" si="40"/>
        <v>299.2138682047526</v>
      </c>
      <c r="AS58" s="130">
        <f t="shared" si="41"/>
        <v>149.3953555187172</v>
      </c>
      <c r="AT58" s="130">
        <f t="shared" si="42"/>
        <v>-34.75224598687167</v>
      </c>
      <c r="AU58" s="130">
        <f t="shared" si="43"/>
        <v>281.4499408865832</v>
      </c>
      <c r="AV58" s="130">
        <f t="shared" si="44"/>
        <v>318.06575645948607</v>
      </c>
      <c r="AW58" s="130">
        <f t="shared" si="45"/>
        <v>144.64550081516634</v>
      </c>
      <c r="AX58" s="130">
        <f t="shared" si="46"/>
        <v>1550.0892790797955</v>
      </c>
      <c r="AY58" s="130">
        <f t="shared" si="47"/>
        <v>621.8792898297879</v>
      </c>
      <c r="AZ58" s="130">
        <f t="shared" si="48"/>
        <v>3030.7728766026644</v>
      </c>
      <c r="BA58" s="130">
        <f t="shared" si="49"/>
        <v>1610.5789402439757</v>
      </c>
      <c r="BB58" s="129">
        <f t="shared" si="50"/>
        <v>224.7164429288691</v>
      </c>
      <c r="BC58" s="130">
        <f t="shared" si="51"/>
        <v>1385.8624973151066</v>
      </c>
      <c r="BD58" s="129">
        <f t="shared" si="52"/>
        <v>8957.54499668904</v>
      </c>
      <c r="BE58" s="129">
        <f t="shared" si="53"/>
        <v>224.71681989290647</v>
      </c>
      <c r="BF58" s="130">
        <f t="shared" si="54"/>
        <v>14.65856832177224</v>
      </c>
      <c r="BG58" s="137">
        <f t="shared" si="55"/>
        <v>1.376194562313052</v>
      </c>
      <c r="BH58" s="47"/>
      <c r="BI58" s="47"/>
      <c r="BJ58" s="47"/>
    </row>
    <row r="59" spans="1:62" ht="16.5" thickBot="1">
      <c r="A59" s="108">
        <f>IF(Data!A59&gt;0,Data!A59,"")</f>
        <v>39</v>
      </c>
      <c r="B59" s="109">
        <f>IF(A59&gt;0,IF(Data!$F$5="lb",Data!B59/2.204,Data!B59),"")</f>
        <v>92.47234642181118</v>
      </c>
      <c r="C59" s="109">
        <f>IF(A59&gt;0,Data!C59,"")</f>
        <v>0.6286252737045288</v>
      </c>
      <c r="D59" s="110">
        <f>IF(A59&gt;0,Data!D59,"")</f>
        <v>27.441959381103516</v>
      </c>
      <c r="E59" s="143">
        <f t="shared" si="3"/>
        <v>-0.29455391335901293</v>
      </c>
      <c r="F59" s="144">
        <f t="shared" si="4"/>
        <v>19.327239043371254</v>
      </c>
      <c r="G59" s="145">
        <f t="shared" si="5"/>
        <v>-8.429032974584526</v>
      </c>
      <c r="H59" s="111">
        <f>IF(A59&gt;0,IF(Data!$F$4="F",(Data!F59-32)/1.8,Data!F59),"")</f>
        <v>118.94120958116319</v>
      </c>
      <c r="I59" s="123">
        <f>IF(A59&gt;0,IF(Data!$F$4="F",(Data!G59-32)/1.8,Data!G59),"")</f>
        <v>26.229561699761284</v>
      </c>
      <c r="J59" s="136">
        <f t="shared" si="6"/>
        <v>0.9797881087006896</v>
      </c>
      <c r="K59" s="128">
        <f t="shared" si="7"/>
        <v>0.8660927995159157</v>
      </c>
      <c r="L59" s="128">
        <f t="shared" si="8"/>
        <v>0.8485874259969847</v>
      </c>
      <c r="M59" s="155">
        <f t="shared" si="9"/>
        <v>4.358039066517209</v>
      </c>
      <c r="N59" s="130">
        <f t="shared" si="10"/>
        <v>92.47234642181118</v>
      </c>
      <c r="O59" s="130">
        <f t="shared" si="11"/>
        <v>21.016489104917127</v>
      </c>
      <c r="P59" s="130">
        <f t="shared" si="12"/>
        <v>74.74539761274998</v>
      </c>
      <c r="Q59" s="130">
        <f t="shared" si="13"/>
        <v>21.016489104917127</v>
      </c>
      <c r="R59" s="129">
        <f t="shared" si="37"/>
        <v>11060.686886600424</v>
      </c>
      <c r="S59" s="130">
        <f t="shared" si="14"/>
        <v>4.166666666666667</v>
      </c>
      <c r="T59" s="130">
        <f t="shared" si="15"/>
        <v>6.6</v>
      </c>
      <c r="U59" s="134">
        <f t="shared" si="38"/>
        <v>2.68125</v>
      </c>
      <c r="V59" s="130">
        <f t="shared" si="16"/>
        <v>19887</v>
      </c>
      <c r="W59" s="130">
        <f t="shared" si="17"/>
        <v>19.17</v>
      </c>
      <c r="X59" s="130">
        <f t="shared" si="18"/>
        <v>80.35844831977649</v>
      </c>
      <c r="Y59" s="130">
        <f t="shared" si="19"/>
        <v>21.31523828110782</v>
      </c>
      <c r="Z59" s="130">
        <f t="shared" si="20"/>
        <v>6.761890899375807</v>
      </c>
      <c r="AA59" s="130">
        <f t="shared" si="21"/>
        <v>22.10631844942452</v>
      </c>
      <c r="AB59" s="130">
        <f t="shared" si="22"/>
        <v>0.10396075925782</v>
      </c>
      <c r="AC59" s="130">
        <f t="shared" si="23"/>
        <v>0.6728081444878928</v>
      </c>
      <c r="AD59" s="130">
        <f t="shared" si="24"/>
        <v>40.78719855864844</v>
      </c>
      <c r="AE59" s="130">
        <f t="shared" si="25"/>
        <v>-12.528137543579048</v>
      </c>
      <c r="AF59" s="130">
        <f t="shared" si="26"/>
        <v>0.9343306540722782</v>
      </c>
      <c r="AG59" s="130">
        <f t="shared" si="27"/>
        <v>0.15451768845180913</v>
      </c>
      <c r="AH59" s="130">
        <f t="shared" si="28"/>
        <v>119.43738936296799</v>
      </c>
      <c r="AI59" s="130">
        <f t="shared" si="29"/>
        <v>32.85679376882502</v>
      </c>
      <c r="AJ59" s="130">
        <f t="shared" si="30"/>
        <v>13.175906470369913</v>
      </c>
      <c r="AK59" s="130">
        <f t="shared" si="39"/>
        <v>392.0912095811632</v>
      </c>
      <c r="AL59" s="130">
        <f t="shared" si="31"/>
        <v>3668.259301092151</v>
      </c>
      <c r="AM59" s="130">
        <f t="shared" si="32"/>
        <v>2771.4866295624593</v>
      </c>
      <c r="AN59" s="130">
        <f t="shared" si="33"/>
        <v>2697.734484823018</v>
      </c>
      <c r="AO59" s="130">
        <f t="shared" si="34"/>
        <v>2667.273259958771</v>
      </c>
      <c r="AP59" s="130">
        <f t="shared" si="35"/>
        <v>3507.4838987011726</v>
      </c>
      <c r="AQ59" s="130">
        <f t="shared" si="36"/>
        <v>3229.1181125367298</v>
      </c>
      <c r="AR59" s="130">
        <f t="shared" si="40"/>
        <v>299.37956169976127</v>
      </c>
      <c r="AS59" s="130">
        <f t="shared" si="41"/>
        <v>149.61802047825452</v>
      </c>
      <c r="AT59" s="130">
        <f t="shared" si="42"/>
        <v>-34.7215656953488</v>
      </c>
      <c r="AU59" s="130">
        <f t="shared" si="43"/>
        <v>266.92961081359425</v>
      </c>
      <c r="AV59" s="130">
        <f t="shared" si="44"/>
        <v>318.5721548871287</v>
      </c>
      <c r="AW59" s="130">
        <f t="shared" si="45"/>
        <v>138.08681578581786</v>
      </c>
      <c r="AX59" s="130">
        <f t="shared" si="46"/>
        <v>1550.7788331002641</v>
      </c>
      <c r="AY59" s="130">
        <f t="shared" si="47"/>
        <v>621.8779898282561</v>
      </c>
      <c r="AZ59" s="130">
        <f t="shared" si="48"/>
        <v>3011.141859197967</v>
      </c>
      <c r="BA59" s="130">
        <f t="shared" si="49"/>
        <v>1674.7270717415684</v>
      </c>
      <c r="BB59" s="129">
        <f t="shared" si="50"/>
        <v>223.55702371906088</v>
      </c>
      <c r="BC59" s="130">
        <f t="shared" si="51"/>
        <v>1451.1700480225074</v>
      </c>
      <c r="BD59" s="129">
        <f t="shared" si="52"/>
        <v>9385.959814858856</v>
      </c>
      <c r="BE59" s="129">
        <f t="shared" si="53"/>
        <v>223.55740104767514</v>
      </c>
      <c r="BF59" s="130">
        <f t="shared" si="54"/>
        <v>14.550283439980351</v>
      </c>
      <c r="BG59" s="137">
        <f t="shared" si="55"/>
        <v>1.3750263150051671</v>
      </c>
      <c r="BH59" s="47"/>
      <c r="BI59" s="47"/>
      <c r="BJ59" s="47"/>
    </row>
    <row r="60" spans="1:62" ht="16.5" thickBot="1">
      <c r="A60" s="108">
        <f>IF(Data!A60&gt;0,Data!A60,"")</f>
        <v>40</v>
      </c>
      <c r="B60" s="109">
        <f>IF(A60&gt;0,IF(Data!$F$5="lb",Data!B60/2.204,Data!B60),"")</f>
        <v>91.55478364975612</v>
      </c>
      <c r="C60" s="109">
        <f>IF(A60&gt;0,Data!C60,"")</f>
        <v>0.5917935967445374</v>
      </c>
      <c r="D60" s="110">
        <f>IF(A60&gt;0,Data!D60,"")</f>
        <v>27.441654205322266</v>
      </c>
      <c r="E60" s="143">
        <f t="shared" si="3"/>
        <v>-0.29361938516178776</v>
      </c>
      <c r="F60" s="144">
        <f t="shared" si="4"/>
        <v>19.329372695622876</v>
      </c>
      <c r="G60" s="145">
        <f t="shared" si="5"/>
        <v>-8.408178308071658</v>
      </c>
      <c r="H60" s="111">
        <f>IF(A60&gt;0,IF(Data!$F$4="F",(Data!F60-32)/1.8,Data!F60),"")</f>
        <v>119.04669019911024</v>
      </c>
      <c r="I60" s="123">
        <f>IF(A60&gt;0,IF(Data!$F$4="F",(Data!G60-32)/1.8,Data!G60),"")</f>
        <v>26.751263936360676</v>
      </c>
      <c r="J60" s="136">
        <f t="shared" si="6"/>
        <v>0.9808935007394302</v>
      </c>
      <c r="K60" s="128">
        <f t="shared" si="7"/>
        <v>0.8663056885911902</v>
      </c>
      <c r="L60" s="128">
        <f t="shared" si="8"/>
        <v>0.8497536195926951</v>
      </c>
      <c r="M60" s="155">
        <f t="shared" si="9"/>
        <v>4.365503519340964</v>
      </c>
      <c r="N60" s="130">
        <f t="shared" si="10"/>
        <v>91.55478364975612</v>
      </c>
      <c r="O60" s="130">
        <f t="shared" si="11"/>
        <v>21.800208043689935</v>
      </c>
      <c r="P60" s="130">
        <f t="shared" si="12"/>
        <v>74.00373162409787</v>
      </c>
      <c r="Q60" s="130">
        <f t="shared" si="13"/>
        <v>21.800208043689945</v>
      </c>
      <c r="R60" s="129">
        <f t="shared" si="37"/>
        <v>12887.153929064358</v>
      </c>
      <c r="S60" s="130">
        <f t="shared" si="14"/>
        <v>4.166666666666667</v>
      </c>
      <c r="T60" s="130">
        <f t="shared" si="15"/>
        <v>6.6</v>
      </c>
      <c r="U60" s="134">
        <f t="shared" si="38"/>
        <v>2.68125</v>
      </c>
      <c r="V60" s="130">
        <f t="shared" si="16"/>
        <v>19887</v>
      </c>
      <c r="W60" s="130">
        <f t="shared" si="17"/>
        <v>19.17</v>
      </c>
      <c r="X60" s="130">
        <f t="shared" si="18"/>
        <v>80.37473050600485</v>
      </c>
      <c r="Y60" s="130">
        <f t="shared" si="19"/>
        <v>21.319557163396514</v>
      </c>
      <c r="Z60" s="130">
        <f t="shared" si="20"/>
        <v>6.751696678617726</v>
      </c>
      <c r="AA60" s="130">
        <f t="shared" si="21"/>
        <v>22.083355655091044</v>
      </c>
      <c r="AB60" s="130">
        <f t="shared" si="22"/>
        <v>0.09862169217372596</v>
      </c>
      <c r="AC60" s="130">
        <f t="shared" si="23"/>
        <v>0.6717938195224639</v>
      </c>
      <c r="AD60" s="130">
        <f t="shared" si="24"/>
        <v>40.848327876592876</v>
      </c>
      <c r="AE60" s="130">
        <f t="shared" si="25"/>
        <v>-12.516010215825602</v>
      </c>
      <c r="AF60" s="130">
        <f t="shared" si="26"/>
        <v>0.8809155123892124</v>
      </c>
      <c r="AG60" s="130">
        <f t="shared" si="27"/>
        <v>0.14680351219043655</v>
      </c>
      <c r="AH60" s="130">
        <f t="shared" si="28"/>
        <v>119.64196181968184</v>
      </c>
      <c r="AI60" s="130">
        <f t="shared" si="29"/>
        <v>32.87222212134776</v>
      </c>
      <c r="AJ60" s="130">
        <f t="shared" si="30"/>
        <v>13.175906470369913</v>
      </c>
      <c r="AK60" s="130">
        <f t="shared" si="39"/>
        <v>392.1966901991102</v>
      </c>
      <c r="AL60" s="130">
        <f t="shared" si="31"/>
        <v>3652.63028934302</v>
      </c>
      <c r="AM60" s="130">
        <f t="shared" si="32"/>
        <v>2759.3047467852552</v>
      </c>
      <c r="AN60" s="130">
        <f t="shared" si="33"/>
        <v>2685.785300087832</v>
      </c>
      <c r="AO60" s="130">
        <f t="shared" si="34"/>
        <v>2655.478194318752</v>
      </c>
      <c r="AP60" s="130">
        <f t="shared" si="35"/>
        <v>3493.3581378895324</v>
      </c>
      <c r="AQ60" s="130">
        <f t="shared" si="36"/>
        <v>3214.786217291342</v>
      </c>
      <c r="AR60" s="130">
        <f t="shared" si="40"/>
        <v>299.90126393636064</v>
      </c>
      <c r="AS60" s="130">
        <f t="shared" si="41"/>
        <v>149.203839671058</v>
      </c>
      <c r="AT60" s="130">
        <f t="shared" si="42"/>
        <v>-34.535486399340336</v>
      </c>
      <c r="AU60" s="130">
        <f t="shared" si="43"/>
        <v>251.6588735313547</v>
      </c>
      <c r="AV60" s="130">
        <f t="shared" si="44"/>
        <v>317.70662073768176</v>
      </c>
      <c r="AW60" s="130">
        <f t="shared" si="45"/>
        <v>131.19086444137147</v>
      </c>
      <c r="AX60" s="130">
        <f t="shared" si="46"/>
        <v>1551.0359010609884</v>
      </c>
      <c r="AY60" s="130">
        <f t="shared" si="47"/>
        <v>621.6891541169598</v>
      </c>
      <c r="AZ60" s="130">
        <f t="shared" si="48"/>
        <v>2987.949767160074</v>
      </c>
      <c r="BA60" s="130">
        <f t="shared" si="49"/>
        <v>1936.2482315936982</v>
      </c>
      <c r="BB60" s="129">
        <f t="shared" si="50"/>
        <v>246.22797845030718</v>
      </c>
      <c r="BC60" s="130">
        <f t="shared" si="51"/>
        <v>1690.020253143391</v>
      </c>
      <c r="BD60" s="129">
        <f t="shared" si="52"/>
        <v>10950.90569747066</v>
      </c>
      <c r="BE60" s="129">
        <f t="shared" si="53"/>
        <v>246.22839701651668</v>
      </c>
      <c r="BF60" s="130">
        <f t="shared" si="54"/>
        <v>15.983799798184274</v>
      </c>
      <c r="BG60" s="137">
        <f t="shared" si="55"/>
        <v>1.5221034516421232</v>
      </c>
      <c r="BH60" s="47"/>
      <c r="BI60" s="47"/>
      <c r="BJ60" s="47"/>
    </row>
    <row r="61" spans="1:62" ht="16.5" thickBot="1">
      <c r="A61" s="108">
        <f>IF(Data!A61&gt;0,Data!A61,"")</f>
        <v>41</v>
      </c>
      <c r="B61" s="109">
        <f>IF(A61&gt;0,IF(Data!$F$5="lb",Data!B61/2.204,Data!B61),"")</f>
        <v>90.86893431287928</v>
      </c>
      <c r="C61" s="109">
        <f>IF(A61&gt;0,Data!C61,"")</f>
        <v>0.569726288318634</v>
      </c>
      <c r="D61" s="110">
        <f>IF(A61&gt;0,Data!D61,"")</f>
        <v>27.441898345947266</v>
      </c>
      <c r="E61" s="143">
        <f t="shared" si="3"/>
        <v>-0.29306906139834343</v>
      </c>
      <c r="F61" s="144">
        <f t="shared" si="4"/>
        <v>19.330626518919118</v>
      </c>
      <c r="G61" s="145">
        <f t="shared" si="5"/>
        <v>-8.396134971187465</v>
      </c>
      <c r="H61" s="111">
        <f>IF(A61&gt;0,IF(Data!$F$4="F",(Data!F61-32)/1.8,Data!F61),"")</f>
        <v>119.2315673828125</v>
      </c>
      <c r="I61" s="123">
        <f>IF(A61&gt;0,IF(Data!$F$4="F",(Data!G61-32)/1.8,Data!G61),"")</f>
        <v>26.50862799750434</v>
      </c>
      <c r="J61" s="136">
        <f t="shared" si="6"/>
        <v>0.9815576179465427</v>
      </c>
      <c r="K61" s="128">
        <f t="shared" si="7"/>
        <v>0.8662164640542339</v>
      </c>
      <c r="L61" s="128">
        <f t="shared" si="8"/>
        <v>0.8502413690831507</v>
      </c>
      <c r="M61" s="155">
        <f t="shared" si="9"/>
        <v>4.369921411157912</v>
      </c>
      <c r="N61" s="130">
        <f t="shared" si="10"/>
        <v>90.86893431287928</v>
      </c>
      <c r="O61" s="130">
        <f t="shared" si="11"/>
        <v>22.386013321350983</v>
      </c>
      <c r="P61" s="130">
        <f t="shared" si="12"/>
        <v>73.44935960510033</v>
      </c>
      <c r="Q61" s="130">
        <f t="shared" si="13"/>
        <v>22.38601332135098</v>
      </c>
      <c r="R61" s="129">
        <f t="shared" si="37"/>
        <v>10734.110751083264</v>
      </c>
      <c r="S61" s="130">
        <f t="shared" si="14"/>
        <v>4.166666666666667</v>
      </c>
      <c r="T61" s="130">
        <f t="shared" si="15"/>
        <v>6.6</v>
      </c>
      <c r="U61" s="134">
        <f t="shared" si="38"/>
        <v>2.68125</v>
      </c>
      <c r="V61" s="130">
        <f t="shared" si="16"/>
        <v>19887</v>
      </c>
      <c r="W61" s="130">
        <f t="shared" si="17"/>
        <v>19.17</v>
      </c>
      <c r="X61" s="130">
        <f t="shared" si="18"/>
        <v>80.38451033692156</v>
      </c>
      <c r="Y61" s="130">
        <f t="shared" si="19"/>
        <v>21.322151283003066</v>
      </c>
      <c r="Z61" s="130">
        <f t="shared" si="20"/>
        <v>6.745691567749034</v>
      </c>
      <c r="AA61" s="130">
        <f t="shared" si="21"/>
        <v>22.069935044194985</v>
      </c>
      <c r="AB61" s="130">
        <f t="shared" si="22"/>
        <v>0.09542356468841362</v>
      </c>
      <c r="AC61" s="130">
        <f t="shared" si="23"/>
        <v>0.6711963109910289</v>
      </c>
      <c r="AD61" s="130">
        <f t="shared" si="24"/>
        <v>40.88505538033871</v>
      </c>
      <c r="AE61" s="130">
        <f t="shared" si="25"/>
        <v>-12.509209055083268</v>
      </c>
      <c r="AF61" s="130">
        <f t="shared" si="26"/>
        <v>0.8488221389021443</v>
      </c>
      <c r="AG61" s="130">
        <f t="shared" si="27"/>
        <v>0.14216938193167308</v>
      </c>
      <c r="AH61" s="130">
        <f t="shared" si="28"/>
        <v>119.76303954685467</v>
      </c>
      <c r="AI61" s="130">
        <f t="shared" si="29"/>
        <v>32.88149038186529</v>
      </c>
      <c r="AJ61" s="130">
        <f t="shared" si="30"/>
        <v>13.175906470369913</v>
      </c>
      <c r="AK61" s="130">
        <f t="shared" si="39"/>
        <v>392.3815673828125</v>
      </c>
      <c r="AL61" s="130">
        <f t="shared" si="31"/>
        <v>3669.4716452244693</v>
      </c>
      <c r="AM61" s="130">
        <f t="shared" si="32"/>
        <v>2772.06176751533</v>
      </c>
      <c r="AN61" s="130">
        <f t="shared" si="33"/>
        <v>2698.210882631389</v>
      </c>
      <c r="AO61" s="130">
        <f t="shared" si="34"/>
        <v>2667.7617874473976</v>
      </c>
      <c r="AP61" s="130">
        <f t="shared" si="35"/>
        <v>3509.389443862513</v>
      </c>
      <c r="AQ61" s="130">
        <f t="shared" si="36"/>
        <v>3229.6618683639117</v>
      </c>
      <c r="AR61" s="130">
        <f t="shared" si="40"/>
        <v>299.6586279975043</v>
      </c>
      <c r="AS61" s="130">
        <f t="shared" si="41"/>
        <v>150.02655143158503</v>
      </c>
      <c r="AT61" s="130">
        <f t="shared" si="42"/>
        <v>-34.67630016345289</v>
      </c>
      <c r="AU61" s="130">
        <f t="shared" si="43"/>
        <v>242.5010246869387</v>
      </c>
      <c r="AV61" s="130">
        <f t="shared" si="44"/>
        <v>319.4992604516504</v>
      </c>
      <c r="AW61" s="130">
        <f t="shared" si="45"/>
        <v>127.05185607096186</v>
      </c>
      <c r="AX61" s="130">
        <f t="shared" si="46"/>
        <v>1551.9623462615198</v>
      </c>
      <c r="AY61" s="130">
        <f t="shared" si="47"/>
        <v>621.8851543041778</v>
      </c>
      <c r="AZ61" s="130">
        <f t="shared" si="48"/>
        <v>2978.249893043381</v>
      </c>
      <c r="BA61" s="130">
        <f t="shared" si="49"/>
        <v>1607.5257301920622</v>
      </c>
      <c r="BB61" s="129">
        <f t="shared" si="50"/>
        <v>197.9622333815484</v>
      </c>
      <c r="BC61" s="130">
        <f t="shared" si="51"/>
        <v>1409.5634968105137</v>
      </c>
      <c r="BD61" s="129">
        <f t="shared" si="52"/>
        <v>9126.585020891202</v>
      </c>
      <c r="BE61" s="129">
        <f t="shared" si="53"/>
        <v>197.96257147560084</v>
      </c>
      <c r="BF61" s="130">
        <f t="shared" si="54"/>
        <v>12.828371484613868</v>
      </c>
      <c r="BG61" s="137">
        <f t="shared" si="55"/>
        <v>1.227786506616491</v>
      </c>
      <c r="BH61" s="47"/>
      <c r="BI61" s="47"/>
      <c r="BJ61" s="47"/>
    </row>
    <row r="62" spans="1:62" ht="16.5" thickBot="1">
      <c r="A62" s="108">
        <f>IF(Data!A62&gt;0,Data!A62,"")</f>
        <v>42</v>
      </c>
      <c r="B62" s="109">
        <f>IF(A62&gt;0,IF(Data!$F$5="lb",Data!B62/2.204,Data!B62),"")</f>
        <v>90.21925190615784</v>
      </c>
      <c r="C62" s="109">
        <f>IF(A62&gt;0,Data!C62,"")</f>
        <v>0.5295053124427795</v>
      </c>
      <c r="D62" s="110">
        <f>IF(A62&gt;0,Data!D62,"")</f>
        <v>27.441654205322266</v>
      </c>
      <c r="E62" s="143">
        <f t="shared" si="3"/>
        <v>-0.29204636361670855</v>
      </c>
      <c r="F62" s="144">
        <f t="shared" si="4"/>
        <v>19.33295139247628</v>
      </c>
      <c r="G62" s="145">
        <f t="shared" si="5"/>
        <v>-8.373455469067377</v>
      </c>
      <c r="H62" s="111">
        <f>IF(A62&gt;0,IF(Data!$F$4="F",(Data!F62-32)/1.8,Data!F62),"")</f>
        <v>119.60860358344183</v>
      </c>
      <c r="I62" s="123">
        <f>IF(A62&gt;0,IF(Data!$F$4="F",(Data!G62-32)/1.8,Data!G62),"")</f>
        <v>26.18852827284071</v>
      </c>
      <c r="J62" s="136">
        <f t="shared" si="6"/>
        <v>0.9827707711566784</v>
      </c>
      <c r="K62" s="128">
        <f t="shared" si="7"/>
        <v>0.8660791206044519</v>
      </c>
      <c r="L62" s="128">
        <f t="shared" si="8"/>
        <v>0.851157245239135</v>
      </c>
      <c r="M62" s="155">
        <f t="shared" si="9"/>
        <v>4.378099488041321</v>
      </c>
      <c r="N62" s="130">
        <f t="shared" si="10"/>
        <v>90.21925190615784</v>
      </c>
      <c r="O62" s="130">
        <f t="shared" si="11"/>
        <v>22.940927297639178</v>
      </c>
      <c r="P62" s="130">
        <f t="shared" si="12"/>
        <v>72.92422131574737</v>
      </c>
      <c r="Q62" s="130">
        <f t="shared" si="13"/>
        <v>22.94092729763919</v>
      </c>
      <c r="R62" s="129">
        <f t="shared" si="37"/>
        <v>12311.402817427537</v>
      </c>
      <c r="S62" s="130">
        <f t="shared" si="14"/>
        <v>4.166666666666667</v>
      </c>
      <c r="T62" s="130">
        <f t="shared" si="15"/>
        <v>6.6</v>
      </c>
      <c r="U62" s="134">
        <f t="shared" si="38"/>
        <v>2.68125</v>
      </c>
      <c r="V62" s="130">
        <f t="shared" si="16"/>
        <v>19887</v>
      </c>
      <c r="W62" s="130">
        <f t="shared" si="17"/>
        <v>19.17</v>
      </c>
      <c r="X62" s="130">
        <f t="shared" si="18"/>
        <v>80.40229595130234</v>
      </c>
      <c r="Y62" s="130">
        <f t="shared" si="19"/>
        <v>21.32686895260009</v>
      </c>
      <c r="Z62" s="130">
        <f t="shared" si="20"/>
        <v>6.734580685750899</v>
      </c>
      <c r="AA62" s="130">
        <f t="shared" si="21"/>
        <v>22.044929583917224</v>
      </c>
      <c r="AB62" s="130">
        <f t="shared" si="22"/>
        <v>0.08959333953037074</v>
      </c>
      <c r="AC62" s="130">
        <f t="shared" si="23"/>
        <v>0.6700907782322145</v>
      </c>
      <c r="AD62" s="130">
        <f t="shared" si="24"/>
        <v>40.95214424188447</v>
      </c>
      <c r="AE62" s="130">
        <f t="shared" si="25"/>
        <v>-12.496001647952278</v>
      </c>
      <c r="AF62" s="130">
        <f t="shared" si="26"/>
        <v>0.7901993724487337</v>
      </c>
      <c r="AG62" s="130">
        <f t="shared" si="27"/>
        <v>0.13370328683932864</v>
      </c>
      <c r="AH62" s="130">
        <f t="shared" si="28"/>
        <v>119.9871697434994</v>
      </c>
      <c r="AI62" s="130">
        <f t="shared" si="29"/>
        <v>32.89842257204998</v>
      </c>
      <c r="AJ62" s="130">
        <f t="shared" si="30"/>
        <v>13.175906470369913</v>
      </c>
      <c r="AK62" s="130">
        <f t="shared" si="39"/>
        <v>392.7586035834418</v>
      </c>
      <c r="AL62" s="130">
        <f t="shared" si="31"/>
        <v>3697.137634288999</v>
      </c>
      <c r="AM62" s="130">
        <f t="shared" si="32"/>
        <v>2792.9274047797117</v>
      </c>
      <c r="AN62" s="130">
        <f t="shared" si="33"/>
        <v>2718.5122308912896</v>
      </c>
      <c r="AO62" s="130">
        <f t="shared" si="34"/>
        <v>2687.8358003788876</v>
      </c>
      <c r="AP62" s="130">
        <f t="shared" si="35"/>
        <v>3535.9236641095317</v>
      </c>
      <c r="AQ62" s="130">
        <f t="shared" si="36"/>
        <v>3253.9591882447976</v>
      </c>
      <c r="AR62" s="130">
        <f t="shared" si="40"/>
        <v>299.3385282728407</v>
      </c>
      <c r="AS62" s="130">
        <f t="shared" si="41"/>
        <v>151.4057136815026</v>
      </c>
      <c r="AT62" s="130">
        <f t="shared" si="42"/>
        <v>-34.900425452738354</v>
      </c>
      <c r="AU62" s="130">
        <f t="shared" si="43"/>
        <v>225.769057666229</v>
      </c>
      <c r="AV62" s="130">
        <f t="shared" si="44"/>
        <v>322.50581042271614</v>
      </c>
      <c r="AW62" s="130">
        <f t="shared" si="45"/>
        <v>119.48954761565383</v>
      </c>
      <c r="AX62" s="130">
        <f t="shared" si="46"/>
        <v>1553.5608664775477</v>
      </c>
      <c r="AY62" s="130">
        <f t="shared" si="47"/>
        <v>622.205293518409</v>
      </c>
      <c r="AZ62" s="130">
        <f t="shared" si="48"/>
        <v>2960.03586392932</v>
      </c>
      <c r="BA62" s="130">
        <f t="shared" si="49"/>
        <v>1832.463110316588</v>
      </c>
      <c r="BB62" s="129">
        <f t="shared" si="50"/>
        <v>212.11561084128715</v>
      </c>
      <c r="BC62" s="130">
        <f t="shared" si="51"/>
        <v>1620.3474994753008</v>
      </c>
      <c r="BD62" s="129">
        <f t="shared" si="52"/>
        <v>10478.939707110949</v>
      </c>
      <c r="BE62" s="129">
        <f t="shared" si="53"/>
        <v>212.11597652377162</v>
      </c>
      <c r="BF62" s="130">
        <f t="shared" si="54"/>
        <v>13.697237283062037</v>
      </c>
      <c r="BG62" s="137">
        <f t="shared" si="55"/>
        <v>1.3243425532603472</v>
      </c>
      <c r="BH62" s="47"/>
      <c r="BI62" s="47"/>
      <c r="BJ62" s="47"/>
    </row>
    <row r="63" spans="1:62" ht="16.5" thickBot="1">
      <c r="A63" s="108">
        <f>IF(Data!A63&gt;0,Data!A63,"")</f>
        <v>43</v>
      </c>
      <c r="B63" s="109">
        <f>IF(A63&gt;0,IF(Data!$F$5="lb",Data!B63/2.204,Data!B63),"")</f>
        <v>89.33715681847988</v>
      </c>
      <c r="C63" s="109">
        <f>IF(A63&gt;0,Data!C63,"")</f>
        <v>0.513802170753479</v>
      </c>
      <c r="D63" s="110">
        <f>IF(A63&gt;0,Data!D63,"")</f>
        <v>27.441837310791016</v>
      </c>
      <c r="E63" s="143">
        <f t="shared" si="3"/>
        <v>-0.2916533314313281</v>
      </c>
      <c r="F63" s="144">
        <f t="shared" si="4"/>
        <v>19.333843077090965</v>
      </c>
      <c r="G63" s="145">
        <f t="shared" si="5"/>
        <v>-8.36489531907679</v>
      </c>
      <c r="H63" s="111">
        <f>IF(A63&gt;0,IF(Data!$F$4="F",(Data!F63-32)/1.8,Data!F63),"")</f>
        <v>119.78925916883681</v>
      </c>
      <c r="I63" s="123">
        <f>IF(A63&gt;0,IF(Data!$F$4="F",(Data!G63-32)/1.8,Data!G63),"")</f>
        <v>26.076253255208332</v>
      </c>
      <c r="J63" s="136">
        <f t="shared" si="6"/>
        <v>0.9832456350403512</v>
      </c>
      <c r="K63" s="128">
        <f t="shared" si="7"/>
        <v>0.8660187786962904</v>
      </c>
      <c r="L63" s="128">
        <f t="shared" si="8"/>
        <v>0.8515091840161034</v>
      </c>
      <c r="M63" s="155">
        <f t="shared" si="9"/>
        <v>4.3812570147031735</v>
      </c>
      <c r="N63" s="130">
        <f t="shared" si="10"/>
        <v>89.33715681847988</v>
      </c>
      <c r="O63" s="130">
        <f t="shared" si="11"/>
        <v>23.694352182634606</v>
      </c>
      <c r="P63" s="130">
        <f t="shared" si="12"/>
        <v>72.21122385637729</v>
      </c>
      <c r="Q63" s="130">
        <f t="shared" si="13"/>
        <v>23.694352182634614</v>
      </c>
      <c r="R63" s="129">
        <f t="shared" si="37"/>
        <v>-30819.943490218015</v>
      </c>
      <c r="S63" s="130">
        <f t="shared" si="14"/>
        <v>4.166666666666667</v>
      </c>
      <c r="T63" s="130">
        <f t="shared" si="15"/>
        <v>6.6</v>
      </c>
      <c r="U63" s="134">
        <f t="shared" si="38"/>
        <v>2.68125</v>
      </c>
      <c r="V63" s="130">
        <f t="shared" si="16"/>
        <v>19887</v>
      </c>
      <c r="W63" s="130">
        <f t="shared" si="17"/>
        <v>19.17</v>
      </c>
      <c r="X63" s="130">
        <f t="shared" si="18"/>
        <v>80.4092558375323</v>
      </c>
      <c r="Y63" s="130">
        <f t="shared" si="19"/>
        <v>21.328715076268516</v>
      </c>
      <c r="Z63" s="130">
        <f t="shared" si="20"/>
        <v>6.730309690270662</v>
      </c>
      <c r="AA63" s="130">
        <f t="shared" si="21"/>
        <v>22.03538685539332</v>
      </c>
      <c r="AB63" s="130">
        <f t="shared" si="22"/>
        <v>0.0873175612499324</v>
      </c>
      <c r="AC63" s="130">
        <f t="shared" si="23"/>
        <v>0.6696658141819308</v>
      </c>
      <c r="AD63" s="130">
        <f t="shared" si="24"/>
        <v>40.97840554144784</v>
      </c>
      <c r="AE63" s="130">
        <f t="shared" si="25"/>
        <v>-12.491148781867288</v>
      </c>
      <c r="AF63" s="130">
        <f t="shared" si="26"/>
        <v>0.7672516050130823</v>
      </c>
      <c r="AG63" s="130">
        <f t="shared" si="27"/>
        <v>0.13038975471160974</v>
      </c>
      <c r="AH63" s="130">
        <f t="shared" si="28"/>
        <v>120.07370562249903</v>
      </c>
      <c r="AI63" s="130">
        <f t="shared" si="29"/>
        <v>32.90504963630543</v>
      </c>
      <c r="AJ63" s="130">
        <f t="shared" si="30"/>
        <v>13.175906470369913</v>
      </c>
      <c r="AK63" s="130">
        <f t="shared" si="39"/>
        <v>392.93925916883677</v>
      </c>
      <c r="AL63" s="130">
        <f t="shared" si="31"/>
        <v>3708.8234006941466</v>
      </c>
      <c r="AM63" s="130">
        <f t="shared" si="32"/>
        <v>2801.713822794317</v>
      </c>
      <c r="AN63" s="130">
        <f t="shared" si="33"/>
        <v>2727.0544167511885</v>
      </c>
      <c r="AO63" s="130">
        <f t="shared" si="34"/>
        <v>2696.2837188091853</v>
      </c>
      <c r="AP63" s="130">
        <f t="shared" si="35"/>
        <v>3547.19043348275</v>
      </c>
      <c r="AQ63" s="130">
        <f t="shared" si="36"/>
        <v>3264.18065697908</v>
      </c>
      <c r="AR63" s="130">
        <f t="shared" si="40"/>
        <v>299.2262532552083</v>
      </c>
      <c r="AS63" s="130">
        <f t="shared" si="41"/>
        <v>151.98166939525643</v>
      </c>
      <c r="AT63" s="130">
        <f t="shared" si="42"/>
        <v>-34.99662420473798</v>
      </c>
      <c r="AU63" s="130">
        <f t="shared" si="43"/>
        <v>219.21917033567757</v>
      </c>
      <c r="AV63" s="130">
        <f t="shared" si="44"/>
        <v>323.75277752703107</v>
      </c>
      <c r="AW63" s="130">
        <f t="shared" si="45"/>
        <v>116.52973978560486</v>
      </c>
      <c r="AX63" s="130">
        <f t="shared" si="46"/>
        <v>1554.210153998478</v>
      </c>
      <c r="AY63" s="130">
        <f t="shared" si="47"/>
        <v>622.3399706344417</v>
      </c>
      <c r="AZ63" s="130">
        <f t="shared" si="48"/>
        <v>2953.036857471752</v>
      </c>
      <c r="BA63" s="130">
        <f t="shared" si="49"/>
        <v>-4576.478557440055</v>
      </c>
      <c r="BB63" s="129">
        <f t="shared" si="50"/>
        <v>-516.3676874780813</v>
      </c>
      <c r="BC63" s="130">
        <f t="shared" si="51"/>
        <v>-4060.1108699619735</v>
      </c>
      <c r="BD63" s="129">
        <f t="shared" si="52"/>
        <v>-26243.46493277796</v>
      </c>
      <c r="BE63" s="129">
        <f t="shared" si="53"/>
        <v>-516.3685812708636</v>
      </c>
      <c r="BF63" s="130">
        <f t="shared" si="54"/>
        <v>-33.29341937244951</v>
      </c>
      <c r="BG63" s="137">
        <f t="shared" si="55"/>
        <v>-3.233151201822457</v>
      </c>
      <c r="BH63" s="47"/>
      <c r="BI63" s="47"/>
      <c r="BJ63" s="47"/>
    </row>
    <row r="64" spans="1:62" ht="16.5" thickBot="1">
      <c r="A64" s="108">
        <f>IF(Data!A64&gt;0,Data!A64,"")</f>
        <v>44</v>
      </c>
      <c r="B64" s="109">
        <f>IF(A64&gt;0,IF(Data!$F$5="lb",Data!B64/2.204,Data!B64),"")</f>
        <v>88.37070222774996</v>
      </c>
      <c r="C64" s="109">
        <f>IF(A64&gt;0,Data!C64,"")</f>
        <v>0.4465274214744568</v>
      </c>
      <c r="D64" s="110">
        <f>IF(A64&gt;0,Data!D64,"")</f>
        <v>27.44159507751465</v>
      </c>
      <c r="E64" s="143">
        <f t="shared" si="3"/>
        <v>-0.28993842826182814</v>
      </c>
      <c r="F64" s="144">
        <f t="shared" si="4"/>
        <v>19.33772218237907</v>
      </c>
      <c r="G64" s="145">
        <f t="shared" si="5"/>
        <v>-8.327136605872806</v>
      </c>
      <c r="H64" s="111">
        <f>IF(A64&gt;0,IF(Data!$F$4="F",(Data!F64-32)/1.8,Data!F64),"")</f>
        <v>119.95934380425346</v>
      </c>
      <c r="I64" s="123">
        <f>IF(A64&gt;0,IF(Data!$F$4="F",(Data!G64-32)/1.8,Data!G64),"")</f>
        <v>26.380619472927517</v>
      </c>
      <c r="J64" s="136">
        <f t="shared" si="6"/>
        <v>0.9852864423468178</v>
      </c>
      <c r="K64" s="128">
        <f t="shared" si="7"/>
        <v>0.8662087703934884</v>
      </c>
      <c r="L64" s="128">
        <f t="shared" si="8"/>
        <v>0.8534637577106119</v>
      </c>
      <c r="M64" s="155">
        <f t="shared" si="9"/>
        <v>4.394988237205012</v>
      </c>
      <c r="N64" s="130">
        <f t="shared" si="10"/>
        <v>88.37070222774996</v>
      </c>
      <c r="O64" s="130">
        <f t="shared" si="11"/>
        <v>24.51983114634905</v>
      </c>
      <c r="P64" s="130">
        <f aca="true" t="shared" si="56" ref="P64:P127">IF(A64&gt;0,($B64)*(1-0.01*$AI$2*EXP(-0.0129*$O64)),"")</f>
        <v>76.02372787683935</v>
      </c>
      <c r="Q64" s="130">
        <f t="shared" si="13"/>
        <v>19.665676672768218</v>
      </c>
      <c r="R64" s="129">
        <f t="shared" si="37"/>
        <v>-34572.34995994777</v>
      </c>
      <c r="S64" s="130">
        <f t="shared" si="14"/>
        <v>4.166666666666667</v>
      </c>
      <c r="T64" s="130">
        <f t="shared" si="15"/>
        <v>6.6</v>
      </c>
      <c r="U64" s="134">
        <f t="shared" si="38"/>
        <v>2.68125</v>
      </c>
      <c r="V64" s="130">
        <f t="shared" si="16"/>
        <v>19887</v>
      </c>
      <c r="W64" s="130">
        <f t="shared" si="17"/>
        <v>19.17</v>
      </c>
      <c r="X64" s="130">
        <f t="shared" si="18"/>
        <v>80.4390141068837</v>
      </c>
      <c r="Y64" s="130">
        <f t="shared" si="19"/>
        <v>21.336608516414774</v>
      </c>
      <c r="Z64" s="130">
        <f t="shared" si="20"/>
        <v>6.711765249353298</v>
      </c>
      <c r="AA64" s="130">
        <f t="shared" si="21"/>
        <v>21.993693242899937</v>
      </c>
      <c r="AB64" s="130">
        <f t="shared" si="22"/>
        <v>0.07756603998297251</v>
      </c>
      <c r="AC64" s="130">
        <f t="shared" si="23"/>
        <v>0.6678206423106532</v>
      </c>
      <c r="AD64" s="130">
        <f t="shared" si="24"/>
        <v>41.091265137547985</v>
      </c>
      <c r="AE64" s="130">
        <f t="shared" si="25"/>
        <v>-12.469121315359452</v>
      </c>
      <c r="AF64" s="130">
        <f t="shared" si="26"/>
        <v>0.6686337516155177</v>
      </c>
      <c r="AG64" s="130">
        <f t="shared" si="27"/>
        <v>0.11614801200902497</v>
      </c>
      <c r="AH64" s="130">
        <f t="shared" si="28"/>
        <v>120.45002656486548</v>
      </c>
      <c r="AI64" s="130">
        <f t="shared" si="29"/>
        <v>32.93353312171059</v>
      </c>
      <c r="AJ64" s="130">
        <f t="shared" si="30"/>
        <v>13.175906470369913</v>
      </c>
      <c r="AK64" s="130">
        <f t="shared" si="39"/>
        <v>393.10934380425346</v>
      </c>
      <c r="AL64" s="130">
        <f t="shared" si="31"/>
        <v>3704.152797420808</v>
      </c>
      <c r="AM64" s="130">
        <f t="shared" si="32"/>
        <v>2797.89903387126</v>
      </c>
      <c r="AN64" s="130">
        <f t="shared" si="33"/>
        <v>2723.2711300037267</v>
      </c>
      <c r="AO64" s="130">
        <f t="shared" si="34"/>
        <v>2692.5578430174487</v>
      </c>
      <c r="AP64" s="130">
        <f t="shared" si="35"/>
        <v>3543.350814286424</v>
      </c>
      <c r="AQ64" s="130">
        <f t="shared" si="36"/>
        <v>3259.62994072851</v>
      </c>
      <c r="AR64" s="130">
        <f t="shared" si="40"/>
        <v>299.53061947292747</v>
      </c>
      <c r="AS64" s="130">
        <f t="shared" si="41"/>
        <v>152.2083247088085</v>
      </c>
      <c r="AT64" s="130">
        <f t="shared" si="42"/>
        <v>-34.88734248146775</v>
      </c>
      <c r="AU64" s="130">
        <f t="shared" si="43"/>
        <v>191.03954226325084</v>
      </c>
      <c r="AV64" s="130">
        <f t="shared" si="44"/>
        <v>324.3186637188886</v>
      </c>
      <c r="AW64" s="130">
        <f t="shared" si="45"/>
        <v>103.80140293083555</v>
      </c>
      <c r="AX64" s="130">
        <f t="shared" si="46"/>
        <v>1555.4056484459948</v>
      </c>
      <c r="AY64" s="130">
        <f t="shared" si="47"/>
        <v>622.280010822751</v>
      </c>
      <c r="AZ64" s="130">
        <f t="shared" si="48"/>
        <v>2914.166250409062</v>
      </c>
      <c r="BA64" s="130">
        <f t="shared" si="49"/>
        <v>-5066.102250244425</v>
      </c>
      <c r="BB64" s="130">
        <f t="shared" si="50"/>
        <v>-508.6813660862214</v>
      </c>
      <c r="BC64" s="130">
        <f t="shared" si="51"/>
        <v>-4557.420884158203</v>
      </c>
      <c r="BD64" s="129">
        <f t="shared" si="52"/>
        <v>-29506.247709703348</v>
      </c>
      <c r="BE64" s="129">
        <f t="shared" si="53"/>
        <v>-508.6822643416853</v>
      </c>
      <c r="BF64" s="130">
        <f t="shared" si="54"/>
        <v>-32.54662450670112</v>
      </c>
      <c r="BG64" s="137">
        <f t="shared" si="55"/>
        <v>-3.2306610093654973</v>
      </c>
      <c r="BH64" s="47"/>
      <c r="BI64" s="47"/>
      <c r="BJ64" s="47"/>
    </row>
    <row r="65" spans="1:62" ht="16.5" thickBot="1">
      <c r="A65" s="108">
        <f>IF(Data!A65&gt;0,Data!A65,"")</f>
        <v>45</v>
      </c>
      <c r="B65" s="109">
        <f>IF(A65&gt;0,IF(Data!$F$5="lb",Data!B65/2.204,Data!B65),"")</f>
        <v>87.90796075672073</v>
      </c>
      <c r="C65" s="109">
        <f>IF(A65&gt;0,Data!C65,"")</f>
        <v>0.3905179500579834</v>
      </c>
      <c r="D65" s="110">
        <f>IF(A65&gt;0,Data!D65,"")</f>
        <v>27.441654205322266</v>
      </c>
      <c r="E65" s="143">
        <f t="shared" si="3"/>
        <v>-0.28851100863031676</v>
      </c>
      <c r="F65" s="144">
        <f t="shared" si="4"/>
        <v>19.34093674063612</v>
      </c>
      <c r="G65" s="145">
        <f t="shared" si="5"/>
        <v>-8.295976439715137</v>
      </c>
      <c r="H65" s="111">
        <f>IF(A65&gt;0,IF(Data!$F$4="F",(Data!F65-32)/1.8,Data!F65),"")</f>
        <v>120.202882554796</v>
      </c>
      <c r="I65" s="123">
        <f>IF(A65&gt;0,IF(Data!$F$4="F",(Data!G65-32)/1.8,Data!G65),"")</f>
        <v>26.147371927897133</v>
      </c>
      <c r="J65" s="136">
        <f t="shared" si="6"/>
        <v>0.9869942278234091</v>
      </c>
      <c r="K65" s="128">
        <f t="shared" si="7"/>
        <v>0.866178508683504</v>
      </c>
      <c r="L65" s="128">
        <f t="shared" si="8"/>
        <v>0.854913188335307</v>
      </c>
      <c r="M65" s="155">
        <f t="shared" si="9"/>
        <v>4.406437721836874</v>
      </c>
      <c r="N65" s="130">
        <f t="shared" si="10"/>
        <v>87.90796075672073</v>
      </c>
      <c r="O65" s="130">
        <f t="shared" si="11"/>
        <v>24.91507304766219</v>
      </c>
      <c r="P65" s="130">
        <f t="shared" si="56"/>
        <v>75.68810322078093</v>
      </c>
      <c r="Q65" s="130">
        <f t="shared" si="13"/>
        <v>20.020331467914108</v>
      </c>
      <c r="R65" s="129">
        <f t="shared" si="37"/>
        <v>9658.179885808337</v>
      </c>
      <c r="S65" s="130">
        <f t="shared" si="14"/>
        <v>4.166666666666667</v>
      </c>
      <c r="T65" s="130">
        <f t="shared" si="15"/>
        <v>6.6</v>
      </c>
      <c r="U65" s="134">
        <f t="shared" si="38"/>
        <v>2.68125</v>
      </c>
      <c r="V65" s="130">
        <f t="shared" si="16"/>
        <v>19887</v>
      </c>
      <c r="W65" s="130">
        <f t="shared" si="17"/>
        <v>19.17</v>
      </c>
      <c r="X65" s="130">
        <f t="shared" si="18"/>
        <v>80.46380428433488</v>
      </c>
      <c r="Y65" s="130">
        <f t="shared" si="19"/>
        <v>21.343184160301032</v>
      </c>
      <c r="Z65" s="130">
        <f t="shared" si="20"/>
        <v>6.696388805370437</v>
      </c>
      <c r="AA65" s="130">
        <f t="shared" si="21"/>
        <v>21.959187323729296</v>
      </c>
      <c r="AB65" s="130">
        <f t="shared" si="22"/>
        <v>0.06944786699657257</v>
      </c>
      <c r="AC65" s="130">
        <f t="shared" si="23"/>
        <v>0.6662906861343585</v>
      </c>
      <c r="AD65" s="130">
        <f t="shared" si="24"/>
        <v>41.185708845086</v>
      </c>
      <c r="AE65" s="130">
        <f t="shared" si="25"/>
        <v>-12.450986652456734</v>
      </c>
      <c r="AF65" s="130">
        <f t="shared" si="26"/>
        <v>0.5861074725862743</v>
      </c>
      <c r="AG65" s="130">
        <f t="shared" si="27"/>
        <v>0.10423058350025968</v>
      </c>
      <c r="AH65" s="130">
        <f t="shared" si="28"/>
        <v>120.76381369093495</v>
      </c>
      <c r="AI65" s="130">
        <f t="shared" si="29"/>
        <v>32.95736797872812</v>
      </c>
      <c r="AJ65" s="130">
        <f t="shared" si="30"/>
        <v>13.175906470369913</v>
      </c>
      <c r="AK65" s="130">
        <f t="shared" si="39"/>
        <v>393.352882554796</v>
      </c>
      <c r="AL65" s="130">
        <f t="shared" si="31"/>
        <v>3723.0395978012994</v>
      </c>
      <c r="AM65" s="130">
        <f t="shared" si="32"/>
        <v>2812.1587657801006</v>
      </c>
      <c r="AN65" s="130">
        <f t="shared" si="33"/>
        <v>2737.1489850872463</v>
      </c>
      <c r="AO65" s="130">
        <f t="shared" si="34"/>
        <v>2706.279503402595</v>
      </c>
      <c r="AP65" s="130">
        <f t="shared" si="35"/>
        <v>3561.4313911836416</v>
      </c>
      <c r="AQ65" s="130">
        <f t="shared" si="36"/>
        <v>3276.24060779725</v>
      </c>
      <c r="AR65" s="130">
        <f t="shared" si="40"/>
        <v>299.29737192789713</v>
      </c>
      <c r="AS65" s="130">
        <f t="shared" si="41"/>
        <v>153.33602489377037</v>
      </c>
      <c r="AT65" s="130">
        <f t="shared" si="42"/>
        <v>-35.01415125731724</v>
      </c>
      <c r="AU65" s="130">
        <f t="shared" si="43"/>
        <v>167.46857546334908</v>
      </c>
      <c r="AV65" s="130">
        <f t="shared" si="44"/>
        <v>326.82063374450695</v>
      </c>
      <c r="AW65" s="130">
        <f t="shared" si="45"/>
        <v>93.15268935825638</v>
      </c>
      <c r="AX65" s="130">
        <f t="shared" si="46"/>
        <v>1557.0787799547224</v>
      </c>
      <c r="AY65" s="130">
        <f t="shared" si="47"/>
        <v>622.4988714184592</v>
      </c>
      <c r="AZ65" s="130">
        <f t="shared" si="48"/>
        <v>2885.3414235757473</v>
      </c>
      <c r="BA65" s="130">
        <f t="shared" si="49"/>
        <v>1401.2745261159992</v>
      </c>
      <c r="BB65" s="130">
        <f t="shared" si="50"/>
        <v>125.61186069294303</v>
      </c>
      <c r="BC65" s="130">
        <f t="shared" si="51"/>
        <v>1275.662665423056</v>
      </c>
      <c r="BD65" s="129">
        <f t="shared" si="52"/>
        <v>8256.905359692337</v>
      </c>
      <c r="BE65" s="129">
        <f t="shared" si="53"/>
        <v>125.61208723535664</v>
      </c>
      <c r="BF65" s="130">
        <f t="shared" si="54"/>
        <v>7.9700547731850975</v>
      </c>
      <c r="BG65" s="137">
        <f t="shared" si="55"/>
        <v>0.8099182179701508</v>
      </c>
      <c r="BH65" s="47"/>
      <c r="BI65" s="47"/>
      <c r="BJ65" s="47"/>
    </row>
    <row r="66" spans="1:62" ht="16.5" thickBot="1">
      <c r="A66" s="108">
        <f>IF(Data!A66&gt;0,Data!A66,"")</f>
        <v>46</v>
      </c>
      <c r="B66" s="109">
        <f>IF(A66&gt;0,IF(Data!$F$5="lb",Data!B66/2.204,Data!B66),"")</f>
        <v>87.03516356092615</v>
      </c>
      <c r="C66" s="109">
        <f>IF(A66&gt;0,Data!C66,"")</f>
        <v>0.39050576090812683</v>
      </c>
      <c r="D66" s="110">
        <f>IF(A66&gt;0,Data!D66,"")</f>
        <v>27.44162368774414</v>
      </c>
      <c r="E66" s="143">
        <f t="shared" si="3"/>
        <v>-0.28850991689326977</v>
      </c>
      <c r="F66" s="144">
        <f t="shared" si="4"/>
        <v>19.340939194298713</v>
      </c>
      <c r="G66" s="145">
        <f t="shared" si="5"/>
        <v>-8.295937373899491</v>
      </c>
      <c r="H66" s="111">
        <f>IF(A66&gt;0,IF(Data!$F$4="F",(Data!F66-32)/1.8,Data!F66),"")</f>
        <v>120.22825453016493</v>
      </c>
      <c r="I66" s="123">
        <f>IF(A66&gt;0,IF(Data!$F$4="F",(Data!G66-32)/1.8,Data!G66),"")</f>
        <v>26.019583808051216</v>
      </c>
      <c r="J66" s="136">
        <f t="shared" si="6"/>
        <v>0.9869945895302805</v>
      </c>
      <c r="K66" s="128">
        <f t="shared" si="7"/>
        <v>0.8661293957010948</v>
      </c>
      <c r="L66" s="128">
        <f t="shared" si="8"/>
        <v>0.8548650273901119</v>
      </c>
      <c r="M66" s="155">
        <f t="shared" si="9"/>
        <v>4.406444952931827</v>
      </c>
      <c r="N66" s="130">
        <f t="shared" si="10"/>
        <v>87.03516356092615</v>
      </c>
      <c r="O66" s="130">
        <f t="shared" si="11"/>
        <v>25.660556313640818</v>
      </c>
      <c r="P66" s="130">
        <f t="shared" si="56"/>
        <v>75.05242201011151</v>
      </c>
      <c r="Q66" s="130">
        <f t="shared" si="13"/>
        <v>20.69205622197633</v>
      </c>
      <c r="R66" s="129">
        <f t="shared" si="37"/>
        <v>13296.812489683345</v>
      </c>
      <c r="S66" s="130">
        <f t="shared" si="14"/>
        <v>4.166666666666667</v>
      </c>
      <c r="T66" s="130">
        <f t="shared" si="15"/>
        <v>6.6</v>
      </c>
      <c r="U66" s="134">
        <f t="shared" si="38"/>
        <v>2.68125</v>
      </c>
      <c r="V66" s="130">
        <f t="shared" si="16"/>
        <v>19887</v>
      </c>
      <c r="W66" s="130">
        <f t="shared" si="17"/>
        <v>19.17</v>
      </c>
      <c r="X66" s="130">
        <f t="shared" si="18"/>
        <v>80.46380792524722</v>
      </c>
      <c r="Y66" s="130">
        <f t="shared" si="19"/>
        <v>21.34318512606027</v>
      </c>
      <c r="Z66" s="130">
        <f t="shared" si="20"/>
        <v>6.696378119420761</v>
      </c>
      <c r="AA66" s="130">
        <f t="shared" si="21"/>
        <v>21.959155696220034</v>
      </c>
      <c r="AB66" s="130">
        <f t="shared" si="22"/>
        <v>0.069446048934239</v>
      </c>
      <c r="AC66" s="130">
        <f t="shared" si="23"/>
        <v>0.6662896228823658</v>
      </c>
      <c r="AD66" s="130">
        <f t="shared" si="24"/>
        <v>41.18572876616599</v>
      </c>
      <c r="AE66" s="130">
        <f t="shared" si="25"/>
        <v>-12.450947889614886</v>
      </c>
      <c r="AF66" s="130">
        <f t="shared" si="26"/>
        <v>0.5860901138138708</v>
      </c>
      <c r="AG66" s="130">
        <f t="shared" si="27"/>
        <v>0.10422802119266951</v>
      </c>
      <c r="AH66" s="130">
        <f t="shared" si="28"/>
        <v>120.76401186793389</v>
      </c>
      <c r="AI66" s="130">
        <f t="shared" si="29"/>
        <v>32.9573731033433</v>
      </c>
      <c r="AJ66" s="130">
        <f t="shared" si="30"/>
        <v>13.175906470369913</v>
      </c>
      <c r="AK66" s="130">
        <f t="shared" si="39"/>
        <v>393.3782545301649</v>
      </c>
      <c r="AL66" s="130">
        <f t="shared" si="31"/>
        <v>3728.9622964203304</v>
      </c>
      <c r="AM66" s="130">
        <f t="shared" si="32"/>
        <v>2816.694669955574</v>
      </c>
      <c r="AN66" s="130">
        <f t="shared" si="33"/>
        <v>2741.579145685739</v>
      </c>
      <c r="AO66" s="130">
        <f t="shared" si="34"/>
        <v>2710.6565015570814</v>
      </c>
      <c r="AP66" s="130">
        <f t="shared" si="35"/>
        <v>3566.9606722250273</v>
      </c>
      <c r="AQ66" s="130">
        <f t="shared" si="36"/>
        <v>3281.548143352687</v>
      </c>
      <c r="AR66" s="130">
        <f t="shared" si="40"/>
        <v>299.1695838080512</v>
      </c>
      <c r="AS66" s="130">
        <f t="shared" si="41"/>
        <v>153.5800297196272</v>
      </c>
      <c r="AT66" s="130">
        <f t="shared" si="42"/>
        <v>-35.07051855657286</v>
      </c>
      <c r="AU66" s="130">
        <f t="shared" si="43"/>
        <v>167.4662120120534</v>
      </c>
      <c r="AV66" s="130">
        <f t="shared" si="44"/>
        <v>327.34975392393153</v>
      </c>
      <c r="AW66" s="130">
        <f t="shared" si="45"/>
        <v>93.15097568532</v>
      </c>
      <c r="AX66" s="130">
        <f t="shared" si="46"/>
        <v>1557.2539444979598</v>
      </c>
      <c r="AY66" s="130">
        <f t="shared" si="47"/>
        <v>622.5688030105258</v>
      </c>
      <c r="AZ66" s="130">
        <f t="shared" si="48"/>
        <v>2886.299200292845</v>
      </c>
      <c r="BA66" s="130">
        <f t="shared" si="49"/>
        <v>1929.8325164890105</v>
      </c>
      <c r="BB66" s="130">
        <f t="shared" si="50"/>
        <v>172.93019248426168</v>
      </c>
      <c r="BC66" s="130">
        <f t="shared" si="51"/>
        <v>1756.9023240047488</v>
      </c>
      <c r="BD66" s="129">
        <f t="shared" si="52"/>
        <v>11366.979973194335</v>
      </c>
      <c r="BE66" s="129">
        <f t="shared" si="53"/>
        <v>172.93050436722407</v>
      </c>
      <c r="BF66" s="130">
        <f t="shared" si="54"/>
        <v>10.972376410334686</v>
      </c>
      <c r="BG66" s="137">
        <f t="shared" si="55"/>
        <v>1.1150202274608887</v>
      </c>
      <c r="BH66" s="47"/>
      <c r="BI66" s="47"/>
      <c r="BJ66" s="47"/>
    </row>
    <row r="67" spans="1:62" ht="16.5" thickBot="1">
      <c r="A67" s="108">
        <f>IF(Data!A67&gt;0,Data!A67,"")</f>
        <v>47</v>
      </c>
      <c r="B67" s="109">
        <f>IF(A67&gt;0,IF(Data!$F$5="lb",Data!B67/2.204,Data!B67),"")</f>
        <v>86.07732146275238</v>
      </c>
      <c r="C67" s="109">
        <f>IF(A67&gt;0,Data!C67,"")</f>
        <v>0.449124276638031</v>
      </c>
      <c r="D67" s="110">
        <f>IF(A67&gt;0,Data!D67,"")</f>
        <v>27.44159507751465</v>
      </c>
      <c r="E67" s="143">
        <f t="shared" si="3"/>
        <v>-0.2900045408290808</v>
      </c>
      <c r="F67" s="144">
        <f t="shared" si="4"/>
        <v>19.337572983255885</v>
      </c>
      <c r="G67" s="145">
        <f t="shared" si="5"/>
        <v>-8.328584232577779</v>
      </c>
      <c r="H67" s="111">
        <f>IF(A67&gt;0,IF(Data!$F$4="F",(Data!F67-32)/1.8,Data!F67),"")</f>
        <v>120.0726572672526</v>
      </c>
      <c r="I67" s="123">
        <f>IF(A67&gt;0,IF(Data!$F$4="F",(Data!G67-32)/1.8,Data!G67),"")</f>
        <v>26.427188449435764</v>
      </c>
      <c r="J67" s="136">
        <f t="shared" si="6"/>
        <v>0.9852074525388027</v>
      </c>
      <c r="K67" s="128">
        <f t="shared" si="7"/>
        <v>0.8661805828974147</v>
      </c>
      <c r="L67" s="128">
        <f t="shared" si="8"/>
        <v>0.8533675655149372</v>
      </c>
      <c r="M67" s="155">
        <f t="shared" si="9"/>
        <v>4.394458236309257</v>
      </c>
      <c r="N67" s="130">
        <f t="shared" si="10"/>
        <v>86.07732146275238</v>
      </c>
      <c r="O67" s="130">
        <f t="shared" si="11"/>
        <v>26.478679079248856</v>
      </c>
      <c r="P67" s="130">
        <f t="shared" si="56"/>
        <v>74.3508665848194</v>
      </c>
      <c r="Q67" s="130">
        <f t="shared" si="13"/>
        <v>21.43339030202425</v>
      </c>
      <c r="R67" s="129">
        <f t="shared" si="37"/>
        <v>10231.898157769481</v>
      </c>
      <c r="S67" s="130">
        <f t="shared" si="14"/>
        <v>4.166666666666667</v>
      </c>
      <c r="T67" s="130">
        <f t="shared" si="15"/>
        <v>6.6</v>
      </c>
      <c r="U67" s="134">
        <f t="shared" si="38"/>
        <v>2.68125</v>
      </c>
      <c r="V67" s="130">
        <f t="shared" si="16"/>
        <v>19887</v>
      </c>
      <c r="W67" s="130">
        <f t="shared" si="17"/>
        <v>19.17</v>
      </c>
      <c r="X67" s="130">
        <f t="shared" si="18"/>
        <v>80.4378648784251</v>
      </c>
      <c r="Y67" s="130">
        <f t="shared" si="19"/>
        <v>21.33630368127987</v>
      </c>
      <c r="Z67" s="130">
        <f t="shared" si="20"/>
        <v>6.71247883064638</v>
      </c>
      <c r="AA67" s="130">
        <f t="shared" si="21"/>
        <v>21.995295260718578</v>
      </c>
      <c r="AB67" s="130">
        <f t="shared" si="22"/>
        <v>0.07794244020723795</v>
      </c>
      <c r="AC67" s="130">
        <f t="shared" si="23"/>
        <v>0.6678916436493147</v>
      </c>
      <c r="AD67" s="130">
        <f t="shared" si="24"/>
        <v>41.08689686185566</v>
      </c>
      <c r="AE67" s="130">
        <f t="shared" si="25"/>
        <v>-12.46996322198457</v>
      </c>
      <c r="AF67" s="130">
        <f t="shared" si="26"/>
        <v>0.6724508098110741</v>
      </c>
      <c r="AG67" s="130">
        <f t="shared" si="27"/>
        <v>0.11669922950580087</v>
      </c>
      <c r="AH67" s="130">
        <f t="shared" si="28"/>
        <v>120.43550124226446</v>
      </c>
      <c r="AI67" s="130">
        <f t="shared" si="29"/>
        <v>32.93243068671705</v>
      </c>
      <c r="AJ67" s="130">
        <f t="shared" si="30"/>
        <v>13.175906470369913</v>
      </c>
      <c r="AK67" s="130">
        <f t="shared" si="39"/>
        <v>393.22265726725254</v>
      </c>
      <c r="AL67" s="130">
        <f t="shared" si="31"/>
        <v>3707.0118609395386</v>
      </c>
      <c r="AM67" s="130">
        <f t="shared" si="32"/>
        <v>2799.9619944494957</v>
      </c>
      <c r="AN67" s="130">
        <f t="shared" si="33"/>
        <v>2725.2554098068804</v>
      </c>
      <c r="AO67" s="130">
        <f t="shared" si="34"/>
        <v>2694.524708425246</v>
      </c>
      <c r="AP67" s="130">
        <f t="shared" si="35"/>
        <v>3546.2973123073048</v>
      </c>
      <c r="AQ67" s="130">
        <f t="shared" si="36"/>
        <v>3261.9975239794358</v>
      </c>
      <c r="AR67" s="130">
        <f t="shared" si="40"/>
        <v>299.57718844943577</v>
      </c>
      <c r="AS67" s="130">
        <f t="shared" si="41"/>
        <v>152.30961399609842</v>
      </c>
      <c r="AT67" s="130">
        <f t="shared" si="42"/>
        <v>-34.915423093739776</v>
      </c>
      <c r="AU67" s="130">
        <f t="shared" si="43"/>
        <v>192.13147222813197</v>
      </c>
      <c r="AV67" s="130">
        <f t="shared" si="44"/>
        <v>324.51643386886104</v>
      </c>
      <c r="AW67" s="130">
        <f t="shared" si="45"/>
        <v>104.29436950391045</v>
      </c>
      <c r="AX67" s="130">
        <f t="shared" si="46"/>
        <v>1555.4315522229574</v>
      </c>
      <c r="AY67" s="130">
        <f t="shared" si="47"/>
        <v>622.311205878226</v>
      </c>
      <c r="AZ67" s="130">
        <f t="shared" si="48"/>
        <v>2916.0792246044457</v>
      </c>
      <c r="BA67" s="130">
        <f t="shared" si="49"/>
        <v>1500.328136276969</v>
      </c>
      <c r="BB67" s="130">
        <f t="shared" si="50"/>
        <v>151.35557207735394</v>
      </c>
      <c r="BC67" s="130">
        <f t="shared" si="51"/>
        <v>1348.9725641996151</v>
      </c>
      <c r="BD67" s="129">
        <f t="shared" si="52"/>
        <v>8731.570021492513</v>
      </c>
      <c r="BE67" s="129">
        <f t="shared" si="53"/>
        <v>151.3558391169424</v>
      </c>
      <c r="BF67" s="130">
        <f t="shared" si="54"/>
        <v>9.68736107299757</v>
      </c>
      <c r="BG67" s="137">
        <f t="shared" si="55"/>
        <v>0.9606714990846457</v>
      </c>
      <c r="BH67" s="47"/>
      <c r="BI67" s="47"/>
      <c r="BJ67" s="47"/>
    </row>
    <row r="68" spans="1:62" ht="16.5" thickBot="1">
      <c r="A68" s="108">
        <f>IF(Data!A68&gt;0,Data!A68,"")</f>
        <v>48</v>
      </c>
      <c r="B68" s="109">
        <f>IF(A68&gt;0,IF(Data!$F$5="lb",Data!B68/2.204,Data!B68),"")</f>
        <v>85.63214421488628</v>
      </c>
      <c r="C68" s="109">
        <f>IF(A68&gt;0,Data!C68,"")</f>
        <v>0.4332626461982727</v>
      </c>
      <c r="D68" s="110">
        <f>IF(A68&gt;0,Data!D68,"")</f>
        <v>27.44159507751465</v>
      </c>
      <c r="E68" s="143">
        <f t="shared" si="3"/>
        <v>-0.2896005321091476</v>
      </c>
      <c r="F68" s="144">
        <f t="shared" si="4"/>
        <v>19.338484293746788</v>
      </c>
      <c r="G68" s="145">
        <f t="shared" si="5"/>
        <v>-8.319742106866997</v>
      </c>
      <c r="H68" s="111">
        <f>IF(A68&gt;0,IF(Data!$F$4="F",(Data!F68-32)/1.8,Data!F68),"")</f>
        <v>119.6364508734809</v>
      </c>
      <c r="I68" s="123">
        <f>IF(A68&gt;0,IF(Data!$F$4="F",(Data!G68-32)/1.8,Data!G68),"")</f>
        <v>26.5274175008138</v>
      </c>
      <c r="J68" s="136">
        <f t="shared" si="6"/>
        <v>0.985690185635209</v>
      </c>
      <c r="K68" s="128">
        <f t="shared" si="7"/>
        <v>0.866391264165551</v>
      </c>
      <c r="L68" s="128">
        <f t="shared" si="8"/>
        <v>0.8539933660080655</v>
      </c>
      <c r="M68" s="155">
        <f t="shared" si="9"/>
        <v>4.397697248783588</v>
      </c>
      <c r="N68" s="130">
        <f t="shared" si="10"/>
        <v>85.63214421488628</v>
      </c>
      <c r="O68" s="130">
        <f t="shared" si="11"/>
        <v>26.858918830565276</v>
      </c>
      <c r="P68" s="130">
        <f t="shared" si="56"/>
        <v>74.02341832350525</v>
      </c>
      <c r="Q68" s="130">
        <f t="shared" si="13"/>
        <v>21.779405095457772</v>
      </c>
      <c r="R68" s="129">
        <f t="shared" si="37"/>
        <v>9753.360316879967</v>
      </c>
      <c r="S68" s="130">
        <f t="shared" si="14"/>
        <v>4.166666666666667</v>
      </c>
      <c r="T68" s="130">
        <f t="shared" si="15"/>
        <v>6.6</v>
      </c>
      <c r="U68" s="134">
        <f t="shared" si="38"/>
        <v>2.68125</v>
      </c>
      <c r="V68" s="130">
        <f t="shared" si="16"/>
        <v>19887</v>
      </c>
      <c r="W68" s="130">
        <f t="shared" si="17"/>
        <v>19.17</v>
      </c>
      <c r="X68" s="130">
        <f t="shared" si="18"/>
        <v>80.44488438315408</v>
      </c>
      <c r="Y68" s="130">
        <f t="shared" si="19"/>
        <v>21.33816561887376</v>
      </c>
      <c r="Z68" s="130">
        <f t="shared" si="20"/>
        <v>6.708120265363897</v>
      </c>
      <c r="AA68" s="130">
        <f t="shared" si="21"/>
        <v>21.985510111760888</v>
      </c>
      <c r="AB68" s="130">
        <f t="shared" si="22"/>
        <v>0.07564338196998577</v>
      </c>
      <c r="AC68" s="130">
        <f t="shared" si="23"/>
        <v>0.6674579664037078</v>
      </c>
      <c r="AD68" s="130">
        <f t="shared" si="24"/>
        <v>41.113592853451344</v>
      </c>
      <c r="AE68" s="130">
        <f t="shared" si="25"/>
        <v>-12.464818049433322</v>
      </c>
      <c r="AF68" s="130">
        <f t="shared" si="26"/>
        <v>0.6491234924241154</v>
      </c>
      <c r="AG68" s="130">
        <f t="shared" si="27"/>
        <v>0.1133305552970707</v>
      </c>
      <c r="AH68" s="130">
        <f t="shared" si="28"/>
        <v>120.52427033959093</v>
      </c>
      <c r="AI68" s="130">
        <f t="shared" si="29"/>
        <v>32.9391680351345</v>
      </c>
      <c r="AJ68" s="130">
        <f t="shared" si="30"/>
        <v>13.175906470369913</v>
      </c>
      <c r="AK68" s="130">
        <f t="shared" si="39"/>
        <v>392.7864508734809</v>
      </c>
      <c r="AL68" s="130">
        <f t="shared" si="31"/>
        <v>3685.323146561098</v>
      </c>
      <c r="AM68" s="130">
        <f t="shared" si="32"/>
        <v>2783.7820182209985</v>
      </c>
      <c r="AN68" s="130">
        <f t="shared" si="33"/>
        <v>2709.5565604719036</v>
      </c>
      <c r="AO68" s="130">
        <f t="shared" si="34"/>
        <v>2678.9925110131026</v>
      </c>
      <c r="AP68" s="130">
        <f t="shared" si="35"/>
        <v>3525.1069154617285</v>
      </c>
      <c r="AQ68" s="130">
        <f t="shared" si="36"/>
        <v>3243.2224556674796</v>
      </c>
      <c r="AR68" s="130">
        <f t="shared" si="40"/>
        <v>299.67741750081376</v>
      </c>
      <c r="AS68" s="130">
        <f t="shared" si="41"/>
        <v>151.51687538111318</v>
      </c>
      <c r="AT68" s="130">
        <f t="shared" si="42"/>
        <v>-34.69933634640903</v>
      </c>
      <c r="AU68" s="130">
        <f t="shared" si="43"/>
        <v>185.45624130903187</v>
      </c>
      <c r="AV68" s="130">
        <f t="shared" si="44"/>
        <v>322.8836176350827</v>
      </c>
      <c r="AW68" s="130">
        <f t="shared" si="45"/>
        <v>101.2813761052301</v>
      </c>
      <c r="AX68" s="130">
        <f t="shared" si="46"/>
        <v>1555.1313287793816</v>
      </c>
      <c r="AY68" s="130">
        <f t="shared" si="47"/>
        <v>622.0638273341729</v>
      </c>
      <c r="AZ68" s="130">
        <f t="shared" si="48"/>
        <v>2903.633930197603</v>
      </c>
      <c r="BA68" s="130">
        <f t="shared" si="49"/>
        <v>1424.0553099781525</v>
      </c>
      <c r="BB68" s="130">
        <f t="shared" si="50"/>
        <v>139.5685279809123</v>
      </c>
      <c r="BC68" s="130">
        <f t="shared" si="51"/>
        <v>1284.4867819972403</v>
      </c>
      <c r="BD68" s="129">
        <f t="shared" si="52"/>
        <v>8329.305006901815</v>
      </c>
      <c r="BE68" s="129">
        <f t="shared" si="53"/>
        <v>139.56877556747065</v>
      </c>
      <c r="BF68" s="130">
        <f t="shared" si="54"/>
        <v>8.913953272458855</v>
      </c>
      <c r="BG68" s="137">
        <f t="shared" si="55"/>
        <v>0.8893075804088462</v>
      </c>
      <c r="BH68" s="47"/>
      <c r="BI68" s="47"/>
      <c r="BJ68" s="47"/>
    </row>
    <row r="69" spans="1:62" ht="16.5" thickBot="1">
      <c r="A69" s="108">
        <f>IF(Data!A69&gt;0,Data!A69,"")</f>
        <v>49</v>
      </c>
      <c r="B69" s="109">
        <f>IF(A69&gt;0,IF(Data!$F$5="lb",Data!B69/2.204,Data!B69),"")</f>
        <v>84.7472936834484</v>
      </c>
      <c r="C69" s="109">
        <f>IF(A69&gt;0,Data!C69,"")</f>
        <v>0.39591893553733826</v>
      </c>
      <c r="D69" s="110">
        <f>IF(A69&gt;0,Data!D69,"")</f>
        <v>27.44162368774414</v>
      </c>
      <c r="E69" s="143">
        <f t="shared" si="3"/>
        <v>-0.2886482703434622</v>
      </c>
      <c r="F69" s="144">
        <f t="shared" si="4"/>
        <v>19.340628187000476</v>
      </c>
      <c r="G69" s="145">
        <f t="shared" si="5"/>
        <v>-8.298954968512334</v>
      </c>
      <c r="H69" s="111">
        <f>IF(A69&gt;0,IF(Data!$F$4="F",(Data!F69-32)/1.8,Data!F69),"")</f>
        <v>119.67022365993924</v>
      </c>
      <c r="I69" s="123">
        <f>IF(A69&gt;0,IF(Data!$F$4="F",(Data!G69-32)/1.8,Data!G69),"")</f>
        <v>26.403990851508247</v>
      </c>
      <c r="J69" s="136">
        <f t="shared" si="6"/>
        <v>0.986829195774028</v>
      </c>
      <c r="K69" s="128">
        <f t="shared" si="7"/>
        <v>0.8664236480556452</v>
      </c>
      <c r="L69" s="128">
        <f t="shared" si="8"/>
        <v>0.8550121518103518</v>
      </c>
      <c r="M69" s="155">
        <f t="shared" si="9"/>
        <v>4.405335205204103</v>
      </c>
      <c r="N69" s="130">
        <f t="shared" si="10"/>
        <v>84.7472936834484</v>
      </c>
      <c r="O69" s="130">
        <f t="shared" si="11"/>
        <v>27.61469722588735</v>
      </c>
      <c r="P69" s="130">
        <f t="shared" si="56"/>
        <v>73.36998859247466</v>
      </c>
      <c r="Q69" s="130">
        <f t="shared" si="13"/>
        <v>22.46988472267729</v>
      </c>
      <c r="R69" s="129">
        <f t="shared" si="37"/>
        <v>13150.891064269916</v>
      </c>
      <c r="S69" s="130">
        <f t="shared" si="14"/>
        <v>4.166666666666667</v>
      </c>
      <c r="T69" s="130">
        <f t="shared" si="15"/>
        <v>6.6</v>
      </c>
      <c r="U69" s="134">
        <f t="shared" si="38"/>
        <v>2.68125</v>
      </c>
      <c r="V69" s="130">
        <f t="shared" si="16"/>
        <v>19887</v>
      </c>
      <c r="W69" s="130">
        <f t="shared" si="17"/>
        <v>19.17</v>
      </c>
      <c r="X69" s="130">
        <f t="shared" si="18"/>
        <v>80.46141234523085</v>
      </c>
      <c r="Y69" s="130">
        <f t="shared" si="19"/>
        <v>21.342549693695187</v>
      </c>
      <c r="Z69" s="130">
        <f t="shared" si="20"/>
        <v>6.697865587880988</v>
      </c>
      <c r="AA69" s="130">
        <f t="shared" si="21"/>
        <v>21.962495120895316</v>
      </c>
      <c r="AB69" s="130">
        <f t="shared" si="22"/>
        <v>0.07023065955597119</v>
      </c>
      <c r="AC69" s="130">
        <f t="shared" si="23"/>
        <v>0.6664376259941582</v>
      </c>
      <c r="AD69" s="130">
        <f t="shared" si="24"/>
        <v>41.17658219973415</v>
      </c>
      <c r="AE69" s="130">
        <f t="shared" si="25"/>
        <v>-12.45271071862482</v>
      </c>
      <c r="AF69" s="130">
        <f t="shared" si="26"/>
        <v>0.5940825068913632</v>
      </c>
      <c r="AG69" s="130">
        <f t="shared" si="27"/>
        <v>0.10538219454702098</v>
      </c>
      <c r="AH69" s="130">
        <f t="shared" si="28"/>
        <v>120.7335978745236</v>
      </c>
      <c r="AI69" s="130">
        <f t="shared" si="29"/>
        <v>32.9550647566346</v>
      </c>
      <c r="AJ69" s="130">
        <f t="shared" si="30"/>
        <v>13.175906470369913</v>
      </c>
      <c r="AK69" s="130">
        <f t="shared" si="39"/>
        <v>392.8202236599392</v>
      </c>
      <c r="AL69" s="130">
        <f t="shared" si="31"/>
        <v>3691.423970038149</v>
      </c>
      <c r="AM69" s="130">
        <f t="shared" si="32"/>
        <v>2788.4443531407046</v>
      </c>
      <c r="AN69" s="130">
        <f t="shared" si="33"/>
        <v>2714.107792649904</v>
      </c>
      <c r="AO69" s="130">
        <f t="shared" si="34"/>
        <v>2683.4896322689387</v>
      </c>
      <c r="AP69" s="130">
        <f t="shared" si="35"/>
        <v>3530.824357277546</v>
      </c>
      <c r="AQ69" s="130">
        <f t="shared" si="36"/>
        <v>3248.6742776935944</v>
      </c>
      <c r="AR69" s="130">
        <f t="shared" si="40"/>
        <v>299.5539908515082</v>
      </c>
      <c r="AS69" s="130">
        <f t="shared" si="41"/>
        <v>152.0002225363448</v>
      </c>
      <c r="AT69" s="130">
        <f t="shared" si="42"/>
        <v>-34.72369088464411</v>
      </c>
      <c r="AU69" s="130">
        <f t="shared" si="43"/>
        <v>169.7335948341384</v>
      </c>
      <c r="AV69" s="130">
        <f t="shared" si="44"/>
        <v>323.9873581628113</v>
      </c>
      <c r="AW69" s="130">
        <f t="shared" si="45"/>
        <v>94.178678788528</v>
      </c>
      <c r="AX69" s="130">
        <f t="shared" si="46"/>
        <v>1556.0615134790723</v>
      </c>
      <c r="AY69" s="130">
        <f t="shared" si="47"/>
        <v>622.1356600312821</v>
      </c>
      <c r="AZ69" s="130">
        <f t="shared" si="48"/>
        <v>2883.373336947533</v>
      </c>
      <c r="BA69" s="130">
        <f t="shared" si="49"/>
        <v>1906.7193971849672</v>
      </c>
      <c r="BB69" s="130">
        <f t="shared" si="50"/>
        <v>173.2074999272171</v>
      </c>
      <c r="BC69" s="130">
        <f t="shared" si="51"/>
        <v>1733.5118972577502</v>
      </c>
      <c r="BD69" s="129">
        <f t="shared" si="52"/>
        <v>11244.17166708495</v>
      </c>
      <c r="BE69" s="129">
        <f aca="true" t="shared" si="57" ref="BE69:BE132">IF(A69&gt;0,(P68-P69)*(0.001*AF69*(282993)+0.001*AG69*(890156)),"")</f>
        <v>171.15140121457122</v>
      </c>
      <c r="BF69" s="130">
        <f t="shared" si="54"/>
        <v>10.99994978010095</v>
      </c>
      <c r="BG69" s="137">
        <f t="shared" si="55"/>
        <v>1.1149955332440868</v>
      </c>
      <c r="BH69" s="47"/>
      <c r="BI69" s="47"/>
      <c r="BJ69" s="47"/>
    </row>
    <row r="70" spans="1:62" ht="16.5" thickBot="1">
      <c r="A70" s="108">
        <f>IF(Data!A70&gt;0,Data!A70,"")</f>
        <v>50</v>
      </c>
      <c r="B70" s="109">
        <f>IF(A70&gt;0,IF(Data!$F$5="lb",Data!B70/2.204,Data!B70),"")</f>
        <v>83.84591048945099</v>
      </c>
      <c r="C70" s="109">
        <f>IF(A70&gt;0,Data!C70,"")</f>
        <v>0.3880551755428314</v>
      </c>
      <c r="D70" s="110">
        <f>IF(A70&gt;0,Data!D70,"")</f>
        <v>27.441959381103516</v>
      </c>
      <c r="E70" s="143">
        <f t="shared" si="3"/>
        <v>-0.28845584848141204</v>
      </c>
      <c r="F70" s="144">
        <f t="shared" si="4"/>
        <v>19.34106070282077</v>
      </c>
      <c r="G70" s="145">
        <f t="shared" si="5"/>
        <v>-8.294926266054162</v>
      </c>
      <c r="H70" s="111">
        <f>IF(A70&gt;0,IF(Data!$F$4="F",(Data!F70-32)/1.8,Data!F70),"")</f>
        <v>120.22398206922743</v>
      </c>
      <c r="I70" s="123">
        <f>IF(A70&gt;0,IF(Data!$F$4="F",(Data!G70-32)/1.8,Data!G70),"")</f>
        <v>26.478114657931858</v>
      </c>
      <c r="J70" s="136">
        <f t="shared" si="6"/>
        <v>0.987069606633295</v>
      </c>
      <c r="K70" s="128">
        <f t="shared" si="7"/>
        <v>0.8662827908468234</v>
      </c>
      <c r="L70" s="128">
        <f t="shared" si="8"/>
        <v>0.8550814135943671</v>
      </c>
      <c r="M70" s="155">
        <f t="shared" si="9"/>
        <v>4.406895447275359</v>
      </c>
      <c r="N70" s="130">
        <f t="shared" si="10"/>
        <v>83.84591048945099</v>
      </c>
      <c r="O70" s="130">
        <f t="shared" si="11"/>
        <v>28.384596683169285</v>
      </c>
      <c r="P70" s="130">
        <f t="shared" si="56"/>
        <v>72.70085674415492</v>
      </c>
      <c r="Q70" s="130">
        <f t="shared" si="13"/>
        <v>23.176956787579837</v>
      </c>
      <c r="R70" s="129">
        <f t="shared" si="37"/>
        <v>13682.189092271614</v>
      </c>
      <c r="S70" s="130">
        <f t="shared" si="14"/>
        <v>4.166666666666667</v>
      </c>
      <c r="T70" s="130">
        <f t="shared" si="15"/>
        <v>6.6</v>
      </c>
      <c r="U70" s="134">
        <f t="shared" si="38"/>
        <v>2.68125</v>
      </c>
      <c r="V70" s="130">
        <f t="shared" si="16"/>
        <v>19887</v>
      </c>
      <c r="W70" s="130">
        <f t="shared" si="17"/>
        <v>19.17</v>
      </c>
      <c r="X70" s="130">
        <f t="shared" si="18"/>
        <v>80.46491170940782</v>
      </c>
      <c r="Y70" s="130">
        <f t="shared" si="19"/>
        <v>21.343477907004726</v>
      </c>
      <c r="Z70" s="130">
        <f t="shared" si="20"/>
        <v>6.69578543299052</v>
      </c>
      <c r="AA70" s="130">
        <f t="shared" si="21"/>
        <v>21.95790910057374</v>
      </c>
      <c r="AB70" s="130">
        <f t="shared" si="22"/>
        <v>0.06909141414748632</v>
      </c>
      <c r="AC70" s="130">
        <f t="shared" si="23"/>
        <v>0.6662306505825568</v>
      </c>
      <c r="AD70" s="130">
        <f t="shared" si="24"/>
        <v>41.189878245781806</v>
      </c>
      <c r="AE70" s="130">
        <f t="shared" si="25"/>
        <v>-12.450532347620182</v>
      </c>
      <c r="AF70" s="130">
        <f t="shared" si="26"/>
        <v>0.5824637086323081</v>
      </c>
      <c r="AG70" s="130">
        <f t="shared" si="27"/>
        <v>0.10370494675841212</v>
      </c>
      <c r="AH70" s="130">
        <f t="shared" si="28"/>
        <v>120.77635821625547</v>
      </c>
      <c r="AI70" s="130">
        <f t="shared" si="29"/>
        <v>32.95841925221181</v>
      </c>
      <c r="AJ70" s="130">
        <f t="shared" si="30"/>
        <v>13.175906470369913</v>
      </c>
      <c r="AK70" s="130">
        <f t="shared" si="39"/>
        <v>393.3739820692274</v>
      </c>
      <c r="AL70" s="130">
        <f t="shared" si="31"/>
        <v>3711.2611221249144</v>
      </c>
      <c r="AM70" s="130">
        <f t="shared" si="32"/>
        <v>2803.0491930492203</v>
      </c>
      <c r="AN70" s="130">
        <f t="shared" si="33"/>
        <v>2728.2302821171047</v>
      </c>
      <c r="AO70" s="130">
        <f t="shared" si="34"/>
        <v>2697.472321987311</v>
      </c>
      <c r="AP70" s="130">
        <f t="shared" si="35"/>
        <v>3550.6302318689936</v>
      </c>
      <c r="AQ70" s="130">
        <f t="shared" si="36"/>
        <v>3265.5487928930324</v>
      </c>
      <c r="AR70" s="130">
        <f t="shared" si="40"/>
        <v>299.62811465793186</v>
      </c>
      <c r="AS70" s="130">
        <f t="shared" si="41"/>
        <v>152.8663937586288</v>
      </c>
      <c r="AT70" s="130">
        <f t="shared" si="42"/>
        <v>-34.899454650029966</v>
      </c>
      <c r="AU70" s="130">
        <f t="shared" si="43"/>
        <v>166.42224742510768</v>
      </c>
      <c r="AV70" s="130">
        <f t="shared" si="44"/>
        <v>325.79088343877385</v>
      </c>
      <c r="AW70" s="130">
        <f t="shared" si="45"/>
        <v>92.68179850583587</v>
      </c>
      <c r="AX70" s="130">
        <f t="shared" si="46"/>
        <v>1556.7760623052238</v>
      </c>
      <c r="AY70" s="130">
        <f t="shared" si="47"/>
        <v>622.3579970652827</v>
      </c>
      <c r="AZ70" s="130">
        <f t="shared" si="48"/>
        <v>2881.9959278488227</v>
      </c>
      <c r="BA70" s="130">
        <f t="shared" si="49"/>
        <v>1982.8035021865728</v>
      </c>
      <c r="BB70" s="130">
        <f t="shared" si="50"/>
        <v>176.9157676748628</v>
      </c>
      <c r="BC70" s="130">
        <f t="shared" si="51"/>
        <v>1805.88773451171</v>
      </c>
      <c r="BD70" s="129">
        <f t="shared" si="52"/>
        <v>11699.385590085041</v>
      </c>
      <c r="BE70" s="129">
        <f t="shared" si="57"/>
        <v>172.06506866382756</v>
      </c>
      <c r="BF70" s="130">
        <f t="shared" si="54"/>
        <v>11.220526013224974</v>
      </c>
      <c r="BG70" s="137">
        <f t="shared" si="55"/>
        <v>1.141578471445712</v>
      </c>
      <c r="BH70" s="47"/>
      <c r="BI70" s="47"/>
      <c r="BJ70" s="47"/>
    </row>
    <row r="71" spans="1:62" ht="16.5" thickBot="1">
      <c r="A71" s="108">
        <f>IF(Data!A71&gt;0,Data!A71,"")</f>
        <v>51</v>
      </c>
      <c r="B71" s="109">
        <f>IF(A71&gt;0,IF(Data!$F$5="lb",Data!B71/2.204,Data!B71),"")</f>
        <v>82.89875092826607</v>
      </c>
      <c r="C71" s="109">
        <f>IF(A71&gt;0,Data!C71,"")</f>
        <v>0.40129554271698</v>
      </c>
      <c r="D71" s="110">
        <f>IF(A71&gt;0,Data!D71,"")</f>
        <v>27.44156265258789</v>
      </c>
      <c r="E71" s="143">
        <f t="shared" si="3"/>
        <v>-0.288784076851775</v>
      </c>
      <c r="F71" s="144">
        <f t="shared" si="4"/>
        <v>19.340322787340053</v>
      </c>
      <c r="G71" s="145">
        <f t="shared" si="5"/>
        <v>-8.301887636606327</v>
      </c>
      <c r="H71" s="111">
        <f>IF(A71&gt;0,IF(Data!$F$4="F",(Data!F71-32)/1.8,Data!F71),"")</f>
        <v>120.5481211344401</v>
      </c>
      <c r="I71" s="123">
        <f>IF(A71&gt;0,IF(Data!$F$4="F",(Data!G71-32)/1.8,Data!G71),"")</f>
        <v>26.438208685980904</v>
      </c>
      <c r="J71" s="136">
        <f t="shared" si="6"/>
        <v>0.9866649696841331</v>
      </c>
      <c r="K71" s="128">
        <f t="shared" si="7"/>
        <v>0.8661336818724292</v>
      </c>
      <c r="L71" s="128">
        <f t="shared" si="8"/>
        <v>0.8545837629670671</v>
      </c>
      <c r="M71" s="155">
        <f t="shared" si="9"/>
        <v>4.404242896266217</v>
      </c>
      <c r="N71" s="130">
        <f t="shared" si="10"/>
        <v>82.89875092826607</v>
      </c>
      <c r="O71" s="130">
        <f t="shared" si="11"/>
        <v>29.19359516125468</v>
      </c>
      <c r="P71" s="130">
        <f t="shared" si="56"/>
        <v>71.99399532126517</v>
      </c>
      <c r="Q71" s="130">
        <f t="shared" si="13"/>
        <v>23.92389771878444</v>
      </c>
      <c r="R71" s="129">
        <f t="shared" si="37"/>
        <v>10206.636015457261</v>
      </c>
      <c r="S71" s="130">
        <f t="shared" si="14"/>
        <v>4.166666666666667</v>
      </c>
      <c r="T71" s="130">
        <f t="shared" si="15"/>
        <v>6.6</v>
      </c>
      <c r="U71" s="134">
        <f t="shared" si="38"/>
        <v>2.68125</v>
      </c>
      <c r="V71" s="130">
        <f t="shared" si="16"/>
        <v>19887</v>
      </c>
      <c r="W71" s="130">
        <f t="shared" si="17"/>
        <v>19.17</v>
      </c>
      <c r="X71" s="130">
        <f t="shared" si="18"/>
        <v>80.45902944130145</v>
      </c>
      <c r="Y71" s="130">
        <f t="shared" si="19"/>
        <v>21.341917623687387</v>
      </c>
      <c r="Z71" s="130">
        <f t="shared" si="20"/>
        <v>6.6993283350254496</v>
      </c>
      <c r="AA71" s="130">
        <f t="shared" si="21"/>
        <v>21.96576377098164</v>
      </c>
      <c r="AB71" s="130">
        <f t="shared" si="22"/>
        <v>0.07100986730117143</v>
      </c>
      <c r="AC71" s="130">
        <f t="shared" si="23"/>
        <v>0.6665831693350323</v>
      </c>
      <c r="AD71" s="130">
        <f t="shared" si="24"/>
        <v>41.16750004348737</v>
      </c>
      <c r="AE71" s="130">
        <f t="shared" si="25"/>
        <v>-12.454391317572714</v>
      </c>
      <c r="AF71" s="130">
        <f t="shared" si="26"/>
        <v>0.6020187145098533</v>
      </c>
      <c r="AG71" s="130">
        <f t="shared" si="27"/>
        <v>0.1065281431753058</v>
      </c>
      <c r="AH71" s="130">
        <f t="shared" si="28"/>
        <v>120.70366181247195</v>
      </c>
      <c r="AI71" s="130">
        <f t="shared" si="29"/>
        <v>32.95277285937803</v>
      </c>
      <c r="AJ71" s="130">
        <f t="shared" si="30"/>
        <v>13.175906470369913</v>
      </c>
      <c r="AK71" s="130">
        <f t="shared" si="39"/>
        <v>393.69812113444004</v>
      </c>
      <c r="AL71" s="130">
        <f t="shared" si="31"/>
        <v>3726.0609928436284</v>
      </c>
      <c r="AM71" s="130">
        <f t="shared" si="32"/>
        <v>2814.0546962996436</v>
      </c>
      <c r="AN71" s="130">
        <f t="shared" si="33"/>
        <v>2738.8997661681656</v>
      </c>
      <c r="AO71" s="130">
        <f t="shared" si="34"/>
        <v>2708.0303878361256</v>
      </c>
      <c r="AP71" s="130">
        <f t="shared" si="35"/>
        <v>3565.1674352666646</v>
      </c>
      <c r="AQ71" s="130">
        <f t="shared" si="36"/>
        <v>3278.306193177093</v>
      </c>
      <c r="AR71" s="130">
        <f t="shared" si="40"/>
        <v>299.5882086859809</v>
      </c>
      <c r="AS71" s="130">
        <f t="shared" si="41"/>
        <v>153.3926160849267</v>
      </c>
      <c r="AT71" s="130">
        <f t="shared" si="42"/>
        <v>-35.047338376769005</v>
      </c>
      <c r="AU71" s="130">
        <f t="shared" si="43"/>
        <v>172.01595099168682</v>
      </c>
      <c r="AV71" s="130">
        <f t="shared" si="44"/>
        <v>326.86918411126896</v>
      </c>
      <c r="AW71" s="130">
        <f t="shared" si="45"/>
        <v>95.20645648334553</v>
      </c>
      <c r="AX71" s="130">
        <f t="shared" si="46"/>
        <v>1556.9297492012497</v>
      </c>
      <c r="AY71" s="130">
        <f t="shared" si="47"/>
        <v>622.5260873782306</v>
      </c>
      <c r="AZ71" s="130">
        <f t="shared" si="48"/>
        <v>2891.892705873939</v>
      </c>
      <c r="BA71" s="130">
        <f t="shared" si="49"/>
        <v>1484.2106021326042</v>
      </c>
      <c r="BB71" s="130">
        <f t="shared" si="50"/>
        <v>136.10555631195385</v>
      </c>
      <c r="BC71" s="130">
        <f t="shared" si="51"/>
        <v>1348.1050458206503</v>
      </c>
      <c r="BD71" s="129">
        <f t="shared" si="52"/>
        <v>8722.425413324658</v>
      </c>
      <c r="BE71" s="129">
        <f t="shared" si="57"/>
        <v>187.45522997615197</v>
      </c>
      <c r="BF71" s="130">
        <f t="shared" si="54"/>
        <v>8.65130009643865</v>
      </c>
      <c r="BG71" s="137">
        <f t="shared" si="55"/>
        <v>0.8747776801270086</v>
      </c>
      <c r="BH71" s="47"/>
      <c r="BI71" s="47"/>
      <c r="BJ71" s="47"/>
    </row>
    <row r="72" spans="1:62" ht="16.5" thickBot="1">
      <c r="A72" s="108">
        <f>IF(Data!A72&gt;0,Data!A72,"")</f>
        <v>52</v>
      </c>
      <c r="B72" s="109">
        <f>IF(A72&gt;0,IF(Data!$F$5="lb",Data!B72/2.204,Data!B72),"")</f>
        <v>82.47216254094118</v>
      </c>
      <c r="C72" s="109">
        <f>IF(A72&gt;0,Data!C72,"")</f>
        <v>0.37496110796928406</v>
      </c>
      <c r="D72" s="110">
        <f>IF(A72&gt;0,Data!D72,"")</f>
        <v>27.441959381103516</v>
      </c>
      <c r="E72" s="143">
        <f t="shared" si="3"/>
        <v>-0.2881209081991042</v>
      </c>
      <c r="F72" s="144">
        <f t="shared" si="4"/>
        <v>19.341813006387145</v>
      </c>
      <c r="G72" s="145">
        <f t="shared" si="5"/>
        <v>-8.287626928701012</v>
      </c>
      <c r="H72" s="111">
        <f>IF(A72&gt;0,IF(Data!$F$4="F",(Data!F72-32)/1.8,Data!F72),"")</f>
        <v>120.64220004611545</v>
      </c>
      <c r="I72" s="123">
        <f>IF(A72&gt;0,IF(Data!$F$4="F",(Data!G72-32)/1.8,Data!G72),"")</f>
        <v>26.525285508897568</v>
      </c>
      <c r="J72" s="136">
        <f t="shared" si="6"/>
        <v>0.9874700616430433</v>
      </c>
      <c r="K72" s="128">
        <f t="shared" si="7"/>
        <v>0.8661892639341363</v>
      </c>
      <c r="L72" s="128">
        <f t="shared" si="8"/>
        <v>0.8553359658515838</v>
      </c>
      <c r="M72" s="155">
        <f t="shared" si="9"/>
        <v>4.4095823645297285</v>
      </c>
      <c r="N72" s="130">
        <f t="shared" si="10"/>
        <v>82.47216254094118</v>
      </c>
      <c r="O72" s="130">
        <f t="shared" si="11"/>
        <v>29.557957587880033</v>
      </c>
      <c r="P72" s="130">
        <f t="shared" si="56"/>
        <v>71.67439362599156</v>
      </c>
      <c r="Q72" s="130">
        <f t="shared" si="13"/>
        <v>24.261621040714093</v>
      </c>
      <c r="R72" s="129">
        <f t="shared" si="37"/>
        <v>9889.476666806228</v>
      </c>
      <c r="S72" s="130">
        <f t="shared" si="14"/>
        <v>4.166666666666667</v>
      </c>
      <c r="T72" s="130">
        <f t="shared" si="15"/>
        <v>6.6</v>
      </c>
      <c r="U72" s="134">
        <f t="shared" si="38"/>
        <v>2.68125</v>
      </c>
      <c r="V72" s="130">
        <f t="shared" si="16"/>
        <v>19887</v>
      </c>
      <c r="W72" s="130">
        <f t="shared" si="17"/>
        <v>19.17</v>
      </c>
      <c r="X72" s="130">
        <f t="shared" si="18"/>
        <v>80.47070643962822</v>
      </c>
      <c r="Y72" s="130">
        <f t="shared" si="19"/>
        <v>21.345014970723664</v>
      </c>
      <c r="Z72" s="130">
        <f t="shared" si="20"/>
        <v>6.692187357209512</v>
      </c>
      <c r="AA72" s="130">
        <f t="shared" si="21"/>
        <v>21.94983128019105</v>
      </c>
      <c r="AB72" s="130">
        <f t="shared" si="22"/>
        <v>0.0671934993001706</v>
      </c>
      <c r="AC72" s="130">
        <f t="shared" si="23"/>
        <v>0.6658726420423465</v>
      </c>
      <c r="AD72" s="130">
        <f t="shared" si="24"/>
        <v>41.212024114602876</v>
      </c>
      <c r="AE72" s="130">
        <f t="shared" si="25"/>
        <v>-12.446264353617874</v>
      </c>
      <c r="AF72" s="130">
        <f t="shared" si="26"/>
        <v>0.5631123495616421</v>
      </c>
      <c r="AG72" s="130">
        <f t="shared" si="27"/>
        <v>0.1009104370080088</v>
      </c>
      <c r="AH72" s="130">
        <f t="shared" si="28"/>
        <v>120.84999646901042</v>
      </c>
      <c r="AI72" s="130">
        <f t="shared" si="29"/>
        <v>32.96400827171262</v>
      </c>
      <c r="AJ72" s="130">
        <f t="shared" si="30"/>
        <v>13.175906470369913</v>
      </c>
      <c r="AK72" s="130">
        <f t="shared" si="39"/>
        <v>393.79220004611545</v>
      </c>
      <c r="AL72" s="130">
        <f t="shared" si="31"/>
        <v>3726.5854464780646</v>
      </c>
      <c r="AM72" s="130">
        <f t="shared" si="32"/>
        <v>2814.340795461212</v>
      </c>
      <c r="AN72" s="130">
        <f t="shared" si="33"/>
        <v>2739.1512888624097</v>
      </c>
      <c r="AO72" s="130">
        <f t="shared" si="34"/>
        <v>2708.2847286921574</v>
      </c>
      <c r="AP72" s="130">
        <f t="shared" si="35"/>
        <v>3565.910090441927</v>
      </c>
      <c r="AQ72" s="130">
        <f t="shared" si="36"/>
        <v>3278.5987019845566</v>
      </c>
      <c r="AR72" s="130">
        <f t="shared" si="40"/>
        <v>299.67528550889756</v>
      </c>
      <c r="AS72" s="130">
        <f t="shared" si="41"/>
        <v>153.58012928538213</v>
      </c>
      <c r="AT72" s="130">
        <f t="shared" si="42"/>
        <v>-35.02802952148146</v>
      </c>
      <c r="AU72" s="130">
        <f t="shared" si="43"/>
        <v>160.89930305757392</v>
      </c>
      <c r="AV72" s="130">
        <f t="shared" si="44"/>
        <v>327.2961998995221</v>
      </c>
      <c r="AW72" s="130">
        <f t="shared" si="45"/>
        <v>90.18586851085884</v>
      </c>
      <c r="AX72" s="130">
        <f t="shared" si="46"/>
        <v>1557.4702344307773</v>
      </c>
      <c r="AY72" s="130">
        <f t="shared" si="47"/>
        <v>622.5299414469195</v>
      </c>
      <c r="AZ72" s="130">
        <f t="shared" si="48"/>
        <v>2876.9336471095526</v>
      </c>
      <c r="BA72" s="130">
        <f t="shared" si="49"/>
        <v>1430.6515902368212</v>
      </c>
      <c r="BB72" s="130">
        <f t="shared" si="50"/>
        <v>123.91430800881324</v>
      </c>
      <c r="BC72" s="130">
        <f t="shared" si="51"/>
        <v>1306.737282228008</v>
      </c>
      <c r="BD72" s="129">
        <f t="shared" si="52"/>
        <v>8458.825076569407</v>
      </c>
      <c r="BE72" s="129">
        <f t="shared" si="57"/>
        <v>79.63927219306338</v>
      </c>
      <c r="BF72" s="130">
        <f t="shared" si="54"/>
        <v>7.840741206308049</v>
      </c>
      <c r="BG72" s="137">
        <f t="shared" si="55"/>
        <v>0.8028975006610731</v>
      </c>
      <c r="BH72" s="47"/>
      <c r="BI72" s="47"/>
      <c r="BJ72" s="47"/>
    </row>
    <row r="73" spans="1:62" ht="16.5" thickBot="1">
      <c r="A73" s="108">
        <f>IF(Data!A73&gt;0,Data!A73,"")</f>
        <v>53</v>
      </c>
      <c r="B73" s="109">
        <f>IF(A73&gt;0,IF(Data!$F$5="lb",Data!B73/2.204,Data!B73),"")</f>
        <v>81.57457327453281</v>
      </c>
      <c r="C73" s="109">
        <f>IF(A73&gt;0,Data!C73,"")</f>
        <v>0.4039533734321594</v>
      </c>
      <c r="D73" s="110">
        <f>IF(A73&gt;0,Data!D73,"")</f>
        <v>27.441532135009766</v>
      </c>
      <c r="E73" s="143">
        <f t="shared" si="3"/>
        <v>-0.28885118241319907</v>
      </c>
      <c r="F73" s="144">
        <f t="shared" si="4"/>
        <v>19.34017183829142</v>
      </c>
      <c r="G73" s="145">
        <f t="shared" si="5"/>
        <v>-8.303336983434427</v>
      </c>
      <c r="H73" s="111">
        <f>IF(A73&gt;0,IF(Data!$F$4="F",(Data!F73-32)/1.8,Data!F73),"")</f>
        <v>120.79251607259114</v>
      </c>
      <c r="I73" s="123">
        <f>IF(A73&gt;0,IF(Data!$F$4="F",(Data!G73-32)/1.8,Data!G73),"")</f>
        <v>26.501426696777344</v>
      </c>
      <c r="J73" s="136">
        <f t="shared" si="6"/>
        <v>0.9865838137771704</v>
      </c>
      <c r="K73" s="128">
        <f t="shared" si="7"/>
        <v>0.8660674886729449</v>
      </c>
      <c r="L73" s="128">
        <f t="shared" si="8"/>
        <v>0.8544481659633704</v>
      </c>
      <c r="M73" s="155">
        <f t="shared" si="9"/>
        <v>4.4037031623817855</v>
      </c>
      <c r="N73" s="130">
        <f t="shared" si="10"/>
        <v>81.57457327453281</v>
      </c>
      <c r="O73" s="130">
        <f t="shared" si="11"/>
        <v>30.32461653345593</v>
      </c>
      <c r="P73" s="130">
        <f t="shared" si="56"/>
        <v>70.99942835120372</v>
      </c>
      <c r="Q73" s="130">
        <f t="shared" si="13"/>
        <v>24.97485729120818</v>
      </c>
      <c r="R73" s="129">
        <f t="shared" si="37"/>
        <v>13741.544968988403</v>
      </c>
      <c r="S73" s="130">
        <f t="shared" si="14"/>
        <v>4.166666666666667</v>
      </c>
      <c r="T73" s="130">
        <f t="shared" si="15"/>
        <v>6.6</v>
      </c>
      <c r="U73" s="134">
        <f t="shared" si="38"/>
        <v>2.68125</v>
      </c>
      <c r="V73" s="130">
        <f t="shared" si="16"/>
        <v>19887</v>
      </c>
      <c r="W73" s="130">
        <f t="shared" si="17"/>
        <v>19.17</v>
      </c>
      <c r="X73" s="130">
        <f t="shared" si="18"/>
        <v>80.45785147499251</v>
      </c>
      <c r="Y73" s="130">
        <f t="shared" si="19"/>
        <v>21.341605165780507</v>
      </c>
      <c r="Z73" s="130">
        <f t="shared" si="20"/>
        <v>6.700051335056636</v>
      </c>
      <c r="AA73" s="130">
        <f t="shared" si="21"/>
        <v>21.967379297098773</v>
      </c>
      <c r="AB73" s="130">
        <f t="shared" si="22"/>
        <v>0.07139505429406157</v>
      </c>
      <c r="AC73" s="130">
        <f t="shared" si="23"/>
        <v>0.6666551078381353</v>
      </c>
      <c r="AD73" s="130">
        <f t="shared" si="24"/>
        <v>41.163011896809174</v>
      </c>
      <c r="AE73" s="130">
        <f t="shared" si="25"/>
        <v>-12.45522142680483</v>
      </c>
      <c r="AF73" s="130">
        <f t="shared" si="26"/>
        <v>0.6059405660928946</v>
      </c>
      <c r="AG73" s="130">
        <f t="shared" si="27"/>
        <v>0.10709443827046529</v>
      </c>
      <c r="AH73" s="130">
        <f t="shared" si="28"/>
        <v>120.6888697454153</v>
      </c>
      <c r="AI73" s="130">
        <f t="shared" si="29"/>
        <v>32.951640269187706</v>
      </c>
      <c r="AJ73" s="130">
        <f t="shared" si="30"/>
        <v>13.175906470369913</v>
      </c>
      <c r="AK73" s="130">
        <f t="shared" si="39"/>
        <v>393.9425160725911</v>
      </c>
      <c r="AL73" s="130">
        <f t="shared" si="31"/>
        <v>3733.654842660288</v>
      </c>
      <c r="AM73" s="130">
        <f t="shared" si="32"/>
        <v>2819.602733679898</v>
      </c>
      <c r="AN73" s="130">
        <f t="shared" si="33"/>
        <v>2744.2538092807845</v>
      </c>
      <c r="AO73" s="130">
        <f t="shared" si="34"/>
        <v>2713.3337039098055</v>
      </c>
      <c r="AP73" s="130">
        <f t="shared" si="35"/>
        <v>3572.8431084099648</v>
      </c>
      <c r="AQ73" s="130">
        <f t="shared" si="36"/>
        <v>3284.700131877206</v>
      </c>
      <c r="AR73" s="130">
        <f t="shared" si="40"/>
        <v>299.6514266967773</v>
      </c>
      <c r="AS73" s="130">
        <f t="shared" si="41"/>
        <v>153.68847870700463</v>
      </c>
      <c r="AT73" s="130">
        <f t="shared" si="42"/>
        <v>-35.11877638360734</v>
      </c>
      <c r="AU73" s="130">
        <f t="shared" si="43"/>
        <v>173.1397933270247</v>
      </c>
      <c r="AV73" s="130">
        <f t="shared" si="44"/>
        <v>327.46917796701575</v>
      </c>
      <c r="AW73" s="130">
        <f t="shared" si="45"/>
        <v>95.71338841880798</v>
      </c>
      <c r="AX73" s="130">
        <f t="shared" si="46"/>
        <v>1557.0869281336854</v>
      </c>
      <c r="AY73" s="130">
        <f t="shared" si="47"/>
        <v>622.6103333165206</v>
      </c>
      <c r="AZ73" s="130">
        <f t="shared" si="48"/>
        <v>2894.589323486452</v>
      </c>
      <c r="BA73" s="130">
        <f t="shared" si="49"/>
        <v>2000.1070727330818</v>
      </c>
      <c r="BB73" s="130">
        <f t="shared" si="50"/>
        <v>184.3587956306347</v>
      </c>
      <c r="BC73" s="130">
        <f t="shared" si="51"/>
        <v>1815.7482771024472</v>
      </c>
      <c r="BD73" s="129">
        <f t="shared" si="52"/>
        <v>11741.43789625532</v>
      </c>
      <c r="BE73" s="129">
        <f t="shared" si="57"/>
        <v>180.08592945022238</v>
      </c>
      <c r="BF73" s="130">
        <f t="shared" si="54"/>
        <v>11.72342067933798</v>
      </c>
      <c r="BG73" s="137">
        <f t="shared" si="55"/>
        <v>1.1840040544453372</v>
      </c>
      <c r="BH73" s="47"/>
      <c r="BI73" s="47"/>
      <c r="BJ73" s="47"/>
    </row>
    <row r="74" spans="1:62" ht="16.5" thickBot="1">
      <c r="A74" s="108">
        <f>IF(Data!A74&gt;0,Data!A74,"")</f>
        <v>54</v>
      </c>
      <c r="B74" s="109">
        <f>IF(A74&gt;0,IF(Data!$F$5="lb",Data!B74/2.204,Data!B74),"")</f>
        <v>80.63910704126374</v>
      </c>
      <c r="C74" s="109">
        <f>IF(A74&gt;0,Data!C74,"")</f>
        <v>0.5321265459060669</v>
      </c>
      <c r="D74" s="110">
        <f>IF(A74&gt;0,Data!D74,"")</f>
        <v>27.44174575805664</v>
      </c>
      <c r="E74" s="143">
        <f t="shared" si="3"/>
        <v>-0.2921150179250037</v>
      </c>
      <c r="F74" s="144">
        <f t="shared" si="4"/>
        <v>19.33279553267795</v>
      </c>
      <c r="G74" s="145">
        <f t="shared" si="5"/>
        <v>-8.375013498331725</v>
      </c>
      <c r="H74" s="111">
        <f>IF(A74&gt;0,IF(Data!$F$4="F",(Data!F74-32)/1.8,Data!F74),"")</f>
        <v>120.66023932562933</v>
      </c>
      <c r="I74" s="123">
        <f>IF(A74&gt;0,IF(Data!$F$4="F",(Data!G74-32)/1.8,Data!G74),"")</f>
        <v>26.642333136664497</v>
      </c>
      <c r="J74" s="136">
        <f t="shared" si="6"/>
        <v>0.9826916252941321</v>
      </c>
      <c r="K74" s="128">
        <f t="shared" si="7"/>
        <v>0.865872119258981</v>
      </c>
      <c r="L74" s="128">
        <f t="shared" si="8"/>
        <v>0.8508852801714826</v>
      </c>
      <c r="M74" s="155">
        <f t="shared" si="9"/>
        <v>4.377554111961327</v>
      </c>
      <c r="N74" s="130">
        <f t="shared" si="10"/>
        <v>80.63910704126374</v>
      </c>
      <c r="O74" s="130">
        <f t="shared" si="11"/>
        <v>31.12362737600942</v>
      </c>
      <c r="P74" s="130">
        <f t="shared" si="56"/>
        <v>70.2924310404846</v>
      </c>
      <c r="Q74" s="130">
        <f t="shared" si="13"/>
        <v>25.721941815171604</v>
      </c>
      <c r="R74" s="129">
        <f t="shared" si="37"/>
        <v>10258.016828891628</v>
      </c>
      <c r="S74" s="130">
        <f t="shared" si="14"/>
        <v>4.166666666666667</v>
      </c>
      <c r="T74" s="130">
        <f t="shared" si="15"/>
        <v>6.6</v>
      </c>
      <c r="U74" s="134">
        <f t="shared" si="38"/>
        <v>2.68125</v>
      </c>
      <c r="V74" s="130">
        <f t="shared" si="16"/>
        <v>19887</v>
      </c>
      <c r="W74" s="130">
        <f t="shared" si="17"/>
        <v>19.17</v>
      </c>
      <c r="X74" s="130">
        <f t="shared" si="18"/>
        <v>80.40114119436902</v>
      </c>
      <c r="Y74" s="130">
        <f t="shared" si="19"/>
        <v>21.326562651026265</v>
      </c>
      <c r="Z74" s="130">
        <f t="shared" si="20"/>
        <v>6.73532297547659</v>
      </c>
      <c r="AA74" s="130">
        <f t="shared" si="21"/>
        <v>22.046618964693238</v>
      </c>
      <c r="AB74" s="130">
        <f t="shared" si="22"/>
        <v>0.08997342718975432</v>
      </c>
      <c r="AC74" s="130">
        <f t="shared" si="23"/>
        <v>0.6701646360599207</v>
      </c>
      <c r="AD74" s="130">
        <f t="shared" si="24"/>
        <v>40.94776758050692</v>
      </c>
      <c r="AE74" s="130">
        <f t="shared" si="25"/>
        <v>-12.496949328109428</v>
      </c>
      <c r="AF74" s="130">
        <f t="shared" si="26"/>
        <v>0.7940236134132396</v>
      </c>
      <c r="AG74" s="130">
        <f t="shared" si="27"/>
        <v>0.13425570725237376</v>
      </c>
      <c r="AH74" s="130">
        <f t="shared" si="28"/>
        <v>119.97222304517453</v>
      </c>
      <c r="AI74" s="130">
        <f t="shared" si="29"/>
        <v>32.89731773122389</v>
      </c>
      <c r="AJ74" s="130">
        <f t="shared" si="30"/>
        <v>13.175906470369913</v>
      </c>
      <c r="AK74" s="130">
        <f t="shared" si="39"/>
        <v>393.8102393256293</v>
      </c>
      <c r="AL74" s="130">
        <f t="shared" si="31"/>
        <v>3722.8493418796984</v>
      </c>
      <c r="AM74" s="130">
        <f t="shared" si="32"/>
        <v>2811.4373407086873</v>
      </c>
      <c r="AN74" s="130">
        <f t="shared" si="33"/>
        <v>2736.3053403571803</v>
      </c>
      <c r="AO74" s="130">
        <f t="shared" si="34"/>
        <v>2705.47506111695</v>
      </c>
      <c r="AP74" s="130">
        <f t="shared" si="35"/>
        <v>3562.5144697415394</v>
      </c>
      <c r="AQ74" s="130">
        <f t="shared" si="36"/>
        <v>3275.185904995222</v>
      </c>
      <c r="AR74" s="130">
        <f t="shared" si="40"/>
        <v>299.79233313666447</v>
      </c>
      <c r="AS74" s="130">
        <f t="shared" si="41"/>
        <v>152.44236958853304</v>
      </c>
      <c r="AT74" s="130">
        <f t="shared" si="42"/>
        <v>-35.13438998599119</v>
      </c>
      <c r="AU74" s="130">
        <f t="shared" si="43"/>
        <v>226.87581548440528</v>
      </c>
      <c r="AV74" s="130">
        <f t="shared" si="44"/>
        <v>324.58185747548</v>
      </c>
      <c r="AW74" s="130">
        <f t="shared" si="45"/>
        <v>119.98681124467598</v>
      </c>
      <c r="AX74" s="130">
        <f t="shared" si="46"/>
        <v>1554.2069946696372</v>
      </c>
      <c r="AY74" s="130">
        <f t="shared" si="47"/>
        <v>622.4849747529856</v>
      </c>
      <c r="AZ74" s="130">
        <f t="shared" si="48"/>
        <v>2965.4444332297257</v>
      </c>
      <c r="BA74" s="130">
        <f t="shared" si="49"/>
        <v>1529.6213054363918</v>
      </c>
      <c r="BB74" s="130">
        <f t="shared" si="50"/>
        <v>177.5492931210944</v>
      </c>
      <c r="BC74" s="130">
        <f t="shared" si="51"/>
        <v>1352.0720123152973</v>
      </c>
      <c r="BD74" s="129">
        <f t="shared" si="52"/>
        <v>8728.395523455236</v>
      </c>
      <c r="BE74" s="129">
        <f t="shared" si="57"/>
        <v>243.3567092955431</v>
      </c>
      <c r="BF74" s="130">
        <f t="shared" si="54"/>
        <v>11.467944510989584</v>
      </c>
      <c r="BG74" s="137">
        <f t="shared" si="55"/>
        <v>1.1080181460206953</v>
      </c>
      <c r="BH74" s="47"/>
      <c r="BI74" s="47"/>
      <c r="BJ74" s="47"/>
    </row>
    <row r="75" spans="1:62" ht="16.5" thickBot="1">
      <c r="A75" s="108">
        <f>IF(Data!A75&gt;0,Data!A75,"")</f>
        <v>55</v>
      </c>
      <c r="B75" s="109">
        <f>IF(A75&gt;0,IF(Data!$F$5="lb",Data!B75/2.204,Data!B75),"")</f>
        <v>80.21114785528442</v>
      </c>
      <c r="C75" s="109">
        <f>IF(A75&gt;0,Data!C75,"")</f>
        <v>0.5065845847129822</v>
      </c>
      <c r="D75" s="110">
        <f>IF(A75&gt;0,Data!D75,"")</f>
        <v>27.441654205322266</v>
      </c>
      <c r="E75" s="143">
        <f t="shared" si="3"/>
        <v>-0.2914657612872821</v>
      </c>
      <c r="F75" s="144">
        <f t="shared" si="4"/>
        <v>19.33426827472988</v>
      </c>
      <c r="G75" s="145">
        <f t="shared" si="5"/>
        <v>-8.360678222948877</v>
      </c>
      <c r="H75" s="111">
        <f>IF(A75&gt;0,IF(Data!$F$4="F",(Data!F75-32)/1.8,Data!F75),"")</f>
        <v>120.90558369954427</v>
      </c>
      <c r="I75" s="123">
        <f>IF(A75&gt;0,IF(Data!$F$4="F",(Data!G75-32)/1.8,Data!G75),"")</f>
        <v>26.38075934516059</v>
      </c>
      <c r="J75" s="136">
        <f t="shared" si="6"/>
        <v>0.9834639696077551</v>
      </c>
      <c r="K75" s="128">
        <f t="shared" si="7"/>
        <v>0.8657643902620742</v>
      </c>
      <c r="L75" s="128">
        <f t="shared" si="8"/>
        <v>0.851448083992177</v>
      </c>
      <c r="M75" s="155">
        <f t="shared" si="9"/>
        <v>4.382750659184632</v>
      </c>
      <c r="N75" s="130">
        <f t="shared" si="10"/>
        <v>80.21114785528442</v>
      </c>
      <c r="O75" s="130">
        <f t="shared" si="11"/>
        <v>31.489160644455563</v>
      </c>
      <c r="P75" s="130">
        <f t="shared" si="56"/>
        <v>69.96779795658496</v>
      </c>
      <c r="Q75" s="130">
        <f t="shared" si="13"/>
        <v>26.064981808776746</v>
      </c>
      <c r="R75" s="129">
        <f t="shared" si="37"/>
        <v>10199.944906860763</v>
      </c>
      <c r="S75" s="130">
        <f t="shared" si="14"/>
        <v>4.166666666666667</v>
      </c>
      <c r="T75" s="130">
        <f t="shared" si="15"/>
        <v>6.6</v>
      </c>
      <c r="U75" s="134">
        <f t="shared" si="38"/>
        <v>2.68125</v>
      </c>
      <c r="V75" s="130">
        <f t="shared" si="16"/>
        <v>19887</v>
      </c>
      <c r="W75" s="130">
        <f t="shared" si="17"/>
        <v>19.17</v>
      </c>
      <c r="X75" s="130">
        <f t="shared" si="18"/>
        <v>80.41243943291363</v>
      </c>
      <c r="Y75" s="130">
        <f t="shared" si="19"/>
        <v>21.329559531276825</v>
      </c>
      <c r="Z75" s="130">
        <f t="shared" si="20"/>
        <v>6.7282823743312905</v>
      </c>
      <c r="AA75" s="130">
        <f t="shared" si="21"/>
        <v>22.030789629269666</v>
      </c>
      <c r="AB75" s="130">
        <f t="shared" si="22"/>
        <v>0.08627110301179641</v>
      </c>
      <c r="AC75" s="130">
        <f t="shared" si="23"/>
        <v>0.6694640962459634</v>
      </c>
      <c r="AD75" s="130">
        <f t="shared" si="24"/>
        <v>40.99047933892501</v>
      </c>
      <c r="AE75" s="130">
        <f t="shared" si="25"/>
        <v>-12.488613310006599</v>
      </c>
      <c r="AF75" s="130">
        <f t="shared" si="26"/>
        <v>0.7567016477114574</v>
      </c>
      <c r="AG75" s="130">
        <f t="shared" si="27"/>
        <v>0.12886591453606516</v>
      </c>
      <c r="AH75" s="130">
        <f t="shared" si="28"/>
        <v>120.114640775851</v>
      </c>
      <c r="AI75" s="130">
        <f t="shared" si="29"/>
        <v>32.908097316656516</v>
      </c>
      <c r="AJ75" s="130">
        <f t="shared" si="30"/>
        <v>13.175906470369913</v>
      </c>
      <c r="AK75" s="130">
        <f t="shared" si="39"/>
        <v>394.05558369954423</v>
      </c>
      <c r="AL75" s="130">
        <f t="shared" si="31"/>
        <v>3742.899656566544</v>
      </c>
      <c r="AM75" s="130">
        <f t="shared" si="32"/>
        <v>2826.5889184881535</v>
      </c>
      <c r="AN75" s="130">
        <f t="shared" si="33"/>
        <v>2751.0544354162894</v>
      </c>
      <c r="AO75" s="130">
        <f t="shared" si="34"/>
        <v>2720.05746773761</v>
      </c>
      <c r="AP75" s="130">
        <f t="shared" si="35"/>
        <v>3581.679593675021</v>
      </c>
      <c r="AQ75" s="130">
        <f t="shared" si="36"/>
        <v>3292.8404161257586</v>
      </c>
      <c r="AR75" s="130">
        <f t="shared" si="40"/>
        <v>299.53075934516056</v>
      </c>
      <c r="AS75" s="130">
        <f t="shared" si="41"/>
        <v>153.42325104016047</v>
      </c>
      <c r="AT75" s="130">
        <f t="shared" si="42"/>
        <v>-35.30017598934831</v>
      </c>
      <c r="AU75" s="130">
        <f t="shared" si="43"/>
        <v>216.2229968150319</v>
      </c>
      <c r="AV75" s="130">
        <f t="shared" si="44"/>
        <v>326.71872562697394</v>
      </c>
      <c r="AW75" s="130">
        <f t="shared" si="45"/>
        <v>115.17232343617971</v>
      </c>
      <c r="AX75" s="130">
        <f t="shared" si="46"/>
        <v>1555.2972437781566</v>
      </c>
      <c r="AY75" s="130">
        <f t="shared" si="47"/>
        <v>622.7175889404217</v>
      </c>
      <c r="AZ75" s="130">
        <f t="shared" si="48"/>
        <v>2954.2519536475756</v>
      </c>
      <c r="BA75" s="130">
        <f t="shared" si="49"/>
        <v>1515.2213590884019</v>
      </c>
      <c r="BB75" s="130">
        <f t="shared" si="50"/>
        <v>168.6663064704867</v>
      </c>
      <c r="BC75" s="130">
        <f t="shared" si="51"/>
        <v>1346.5550526179152</v>
      </c>
      <c r="BD75" s="129">
        <f t="shared" si="52"/>
        <v>8684.72354777236</v>
      </c>
      <c r="BE75" s="129">
        <f t="shared" si="57"/>
        <v>106.75625072664184</v>
      </c>
      <c r="BF75" s="130">
        <f t="shared" si="54"/>
        <v>10.867039940285292</v>
      </c>
      <c r="BG75" s="137">
        <f t="shared" si="55"/>
        <v>1.0575151434726946</v>
      </c>
      <c r="BH75" s="47"/>
      <c r="BI75" s="47"/>
      <c r="BJ75" s="47"/>
    </row>
    <row r="76" spans="1:62" ht="16.5" thickBot="1">
      <c r="A76" s="108">
        <f>IF(Data!A76&gt;0,Data!A76,"")</f>
        <v>56</v>
      </c>
      <c r="B76" s="109">
        <f>IF(A76&gt;0,IF(Data!$F$5="lb",Data!B76/2.204,Data!B76),"")</f>
        <v>79.29013731691668</v>
      </c>
      <c r="C76" s="109">
        <f>IF(A76&gt;0,Data!C76,"")</f>
        <v>0.5065723657608032</v>
      </c>
      <c r="D76" s="110">
        <f>IF(A76&gt;0,Data!D76,"")</f>
        <v>27.44168472290039</v>
      </c>
      <c r="E76" s="143">
        <f t="shared" si="3"/>
        <v>-0.2914662251875161</v>
      </c>
      <c r="F76" s="144">
        <f t="shared" si="4"/>
        <v>19.334267223404808</v>
      </c>
      <c r="G76" s="145">
        <f t="shared" si="5"/>
        <v>-8.360703682375984</v>
      </c>
      <c r="H76" s="111">
        <f>IF(A76&gt;0,IF(Data!$F$4="F",(Data!F76-32)/1.8,Data!F76),"")</f>
        <v>120.873777601454</v>
      </c>
      <c r="I76" s="123">
        <f>IF(A76&gt;0,IF(Data!$F$4="F",(Data!G76-32)/1.8,Data!G76),"")</f>
        <v>26.152691311306423</v>
      </c>
      <c r="J76" s="136">
        <f t="shared" si="6"/>
        <v>0.9834643540951734</v>
      </c>
      <c r="K76" s="128">
        <f t="shared" si="7"/>
        <v>0.8657021562087258</v>
      </c>
      <c r="L76" s="128">
        <f t="shared" si="8"/>
        <v>0.8513872118946134</v>
      </c>
      <c r="M76" s="155">
        <f t="shared" si="9"/>
        <v>4.382748457631505</v>
      </c>
      <c r="N76" s="130">
        <f t="shared" si="10"/>
        <v>79.29013731691668</v>
      </c>
      <c r="O76" s="130">
        <f t="shared" si="11"/>
        <v>32.27582442780795</v>
      </c>
      <c r="P76" s="130">
        <f t="shared" si="56"/>
        <v>69.26664083513833</v>
      </c>
      <c r="Q76" s="130">
        <f t="shared" si="13"/>
        <v>26.805895000888764</v>
      </c>
      <c r="R76" s="129">
        <f t="shared" si="37"/>
        <v>14258.477221517747</v>
      </c>
      <c r="S76" s="130">
        <f t="shared" si="14"/>
        <v>4.166666666666667</v>
      </c>
      <c r="T76" s="130">
        <f t="shared" si="15"/>
        <v>6.6</v>
      </c>
      <c r="U76" s="134">
        <f t="shared" si="38"/>
        <v>2.68125</v>
      </c>
      <c r="V76" s="130">
        <f t="shared" si="16"/>
        <v>19887</v>
      </c>
      <c r="W76" s="130">
        <f t="shared" si="17"/>
        <v>19.17</v>
      </c>
      <c r="X76" s="130">
        <f t="shared" si="18"/>
        <v>80.41244659371479</v>
      </c>
      <c r="Y76" s="130">
        <f t="shared" si="19"/>
        <v>21.329561430693577</v>
      </c>
      <c r="Z76" s="130">
        <f t="shared" si="20"/>
        <v>6.728286353258851</v>
      </c>
      <c r="AA76" s="130">
        <f t="shared" si="21"/>
        <v>22.030806199252833</v>
      </c>
      <c r="AB76" s="130">
        <f t="shared" si="22"/>
        <v>0.08626938325068778</v>
      </c>
      <c r="AC76" s="130">
        <f t="shared" si="23"/>
        <v>0.6694644921492556</v>
      </c>
      <c r="AD76" s="130">
        <f t="shared" si="24"/>
        <v>40.99050068331679</v>
      </c>
      <c r="AE76" s="130">
        <f t="shared" si="25"/>
        <v>-12.488643954117261</v>
      </c>
      <c r="AF76" s="130">
        <f t="shared" si="26"/>
        <v>0.7566829483883426</v>
      </c>
      <c r="AG76" s="130">
        <f t="shared" si="27"/>
        <v>0.12886326946740323</v>
      </c>
      <c r="AH76" s="130">
        <f t="shared" si="28"/>
        <v>120.11458043959561</v>
      </c>
      <c r="AI76" s="130">
        <f t="shared" si="29"/>
        <v>32.90810260679384</v>
      </c>
      <c r="AJ76" s="130">
        <f t="shared" si="30"/>
        <v>13.175906470369913</v>
      </c>
      <c r="AK76" s="130">
        <f t="shared" si="39"/>
        <v>394.02377760145396</v>
      </c>
      <c r="AL76" s="130">
        <f t="shared" si="31"/>
        <v>3750.3141152033286</v>
      </c>
      <c r="AM76" s="130">
        <f t="shared" si="32"/>
        <v>2832.3469963238126</v>
      </c>
      <c r="AN76" s="130">
        <f t="shared" si="33"/>
        <v>2756.6975274225497</v>
      </c>
      <c r="AO76" s="130">
        <f t="shared" si="34"/>
        <v>2725.628816057769</v>
      </c>
      <c r="AP76" s="130">
        <f t="shared" si="35"/>
        <v>3588.4270009609254</v>
      </c>
      <c r="AQ76" s="130">
        <f t="shared" si="36"/>
        <v>3299.6071878319767</v>
      </c>
      <c r="AR76" s="130">
        <f t="shared" si="40"/>
        <v>299.3026913113064</v>
      </c>
      <c r="AS76" s="130">
        <f t="shared" si="41"/>
        <v>153.72725330189465</v>
      </c>
      <c r="AT76" s="130">
        <f t="shared" si="42"/>
        <v>-35.37217319160157</v>
      </c>
      <c r="AU76" s="130">
        <f t="shared" si="43"/>
        <v>216.22192362612722</v>
      </c>
      <c r="AV76" s="130">
        <f t="shared" si="44"/>
        <v>327.3877616748507</v>
      </c>
      <c r="AW76" s="130">
        <f t="shared" si="45"/>
        <v>115.17082893161472</v>
      </c>
      <c r="AX76" s="130">
        <f t="shared" si="46"/>
        <v>1555.5201754174075</v>
      </c>
      <c r="AY76" s="130">
        <f t="shared" si="47"/>
        <v>622.8067472915292</v>
      </c>
      <c r="AZ76" s="130">
        <f t="shared" si="48"/>
        <v>2955.462517051822</v>
      </c>
      <c r="BA76" s="130">
        <f t="shared" si="49"/>
        <v>2118.9920540268977</v>
      </c>
      <c r="BB76" s="130">
        <f t="shared" si="50"/>
        <v>235.772721587979</v>
      </c>
      <c r="BC76" s="130">
        <f t="shared" si="51"/>
        <v>1883.2193324389186</v>
      </c>
      <c r="BD76" s="129">
        <f t="shared" si="52"/>
        <v>12139.48516749085</v>
      </c>
      <c r="BE76" s="129">
        <f t="shared" si="57"/>
        <v>230.57158597290015</v>
      </c>
      <c r="BF76" s="130">
        <f t="shared" si="54"/>
        <v>15.19063228934329</v>
      </c>
      <c r="BG76" s="137">
        <f t="shared" si="55"/>
        <v>1.4782674047498545</v>
      </c>
      <c r="BH76" s="47"/>
      <c r="BI76" s="47"/>
      <c r="BJ76" s="47"/>
    </row>
    <row r="77" spans="1:62" ht="16.5" thickBot="1">
      <c r="A77" s="108">
        <f>IF(Data!A77&gt;0,Data!A77,"")</f>
        <v>57</v>
      </c>
      <c r="B77" s="109">
        <f>IF(A77&gt;0,IF(Data!$F$5="lb",Data!B77/2.204,Data!B77),"")</f>
        <v>78.33230214196843</v>
      </c>
      <c r="C77" s="109">
        <f>IF(A77&gt;0,Data!C77,"")</f>
        <v>0.46012136340141296</v>
      </c>
      <c r="D77" s="110">
        <f>IF(A77&gt;0,Data!D77,"")</f>
        <v>27.44162368774414</v>
      </c>
      <c r="E77" s="143">
        <f t="shared" si="3"/>
        <v>-0.29028510373956484</v>
      </c>
      <c r="F77" s="144">
        <f t="shared" si="4"/>
        <v>19.33693951538023</v>
      </c>
      <c r="G77" s="145">
        <f t="shared" si="5"/>
        <v>-8.334744854064617</v>
      </c>
      <c r="H77" s="111">
        <f>IF(A77&gt;0,IF(Data!$F$4="F",(Data!F77-32)/1.8,Data!F77),"")</f>
        <v>120.6187523735894</v>
      </c>
      <c r="I77" s="123">
        <f>IF(A77&gt;0,IF(Data!$F$4="F",(Data!G77-32)/1.8,Data!G77),"")</f>
        <v>26.543460422092014</v>
      </c>
      <c r="J77" s="136">
        <f t="shared" si="6"/>
        <v>0.9848731471309575</v>
      </c>
      <c r="K77" s="128">
        <f t="shared" si="7"/>
        <v>0.866013606583502</v>
      </c>
      <c r="L77" s="128">
        <f t="shared" si="8"/>
        <v>0.8529135461741245</v>
      </c>
      <c r="M77" s="155">
        <f t="shared" si="9"/>
        <v>4.392210643635691</v>
      </c>
      <c r="N77" s="130">
        <f t="shared" si="10"/>
        <v>78.33230214196843</v>
      </c>
      <c r="O77" s="130">
        <f t="shared" si="11"/>
        <v>33.09394128007347</v>
      </c>
      <c r="P77" s="130">
        <f t="shared" si="56"/>
        <v>68.53384841954892</v>
      </c>
      <c r="Q77" s="130">
        <f t="shared" si="13"/>
        <v>27.58023722916086</v>
      </c>
      <c r="R77" s="129">
        <f t="shared" si="37"/>
        <v>10582.73712355371</v>
      </c>
      <c r="S77" s="130">
        <f t="shared" si="14"/>
        <v>4.166666666666667</v>
      </c>
      <c r="T77" s="130">
        <f t="shared" si="15"/>
        <v>6.6</v>
      </c>
      <c r="U77" s="134">
        <f t="shared" si="38"/>
        <v>2.68125</v>
      </c>
      <c r="V77" s="130">
        <f t="shared" si="16"/>
        <v>19887</v>
      </c>
      <c r="W77" s="130">
        <f t="shared" si="17"/>
        <v>19.17</v>
      </c>
      <c r="X77" s="130">
        <f t="shared" si="18"/>
        <v>80.43299980291906</v>
      </c>
      <c r="Y77" s="130">
        <f t="shared" si="19"/>
        <v>21.335013210323357</v>
      </c>
      <c r="Z77" s="130">
        <f t="shared" si="20"/>
        <v>6.715507561964442</v>
      </c>
      <c r="AA77" s="130">
        <f t="shared" si="21"/>
        <v>22.00210204040341</v>
      </c>
      <c r="AB77" s="130">
        <f t="shared" si="22"/>
        <v>0.07953645703962309</v>
      </c>
      <c r="AC77" s="130">
        <f t="shared" si="23"/>
        <v>0.668193002415462</v>
      </c>
      <c r="AD77" s="130">
        <f t="shared" si="24"/>
        <v>41.06840925981709</v>
      </c>
      <c r="AE77" s="130">
        <f t="shared" si="25"/>
        <v>-12.473559022520753</v>
      </c>
      <c r="AF77" s="130">
        <f t="shared" si="26"/>
        <v>0.688605480359885</v>
      </c>
      <c r="AG77" s="130">
        <f t="shared" si="27"/>
        <v>0.11903216099555881</v>
      </c>
      <c r="AH77" s="130">
        <f t="shared" si="28"/>
        <v>120.37390321682578</v>
      </c>
      <c r="AI77" s="130">
        <f t="shared" si="29"/>
        <v>32.927764823737526</v>
      </c>
      <c r="AJ77" s="130">
        <f t="shared" si="30"/>
        <v>13.175906470369913</v>
      </c>
      <c r="AK77" s="130">
        <f t="shared" si="39"/>
        <v>393.7687523735894</v>
      </c>
      <c r="AL77" s="130">
        <f t="shared" si="31"/>
        <v>3724.930196075467</v>
      </c>
      <c r="AM77" s="130">
        <f t="shared" si="32"/>
        <v>2813.093939612386</v>
      </c>
      <c r="AN77" s="130">
        <f t="shared" si="33"/>
        <v>2737.93852833961</v>
      </c>
      <c r="AO77" s="130">
        <f t="shared" si="34"/>
        <v>2707.085469891433</v>
      </c>
      <c r="AP77" s="130">
        <f t="shared" si="35"/>
        <v>3564.3192011664914</v>
      </c>
      <c r="AQ77" s="130">
        <f t="shared" si="36"/>
        <v>3277.147349593595</v>
      </c>
      <c r="AR77" s="130">
        <f t="shared" si="40"/>
        <v>299.693460422092</v>
      </c>
      <c r="AS77" s="130">
        <f t="shared" si="41"/>
        <v>152.976957756678</v>
      </c>
      <c r="AT77" s="130">
        <f t="shared" si="42"/>
        <v>-35.08929329165053</v>
      </c>
      <c r="AU77" s="130">
        <f t="shared" si="43"/>
        <v>196.75589017898807</v>
      </c>
      <c r="AV77" s="130">
        <f t="shared" si="44"/>
        <v>325.8624443523867</v>
      </c>
      <c r="AW77" s="130">
        <f t="shared" si="45"/>
        <v>106.38146092015546</v>
      </c>
      <c r="AX77" s="130">
        <f t="shared" si="46"/>
        <v>1555.710028755068</v>
      </c>
      <c r="AY77" s="130">
        <f t="shared" si="47"/>
        <v>622.5108185635606</v>
      </c>
      <c r="AZ77" s="130">
        <f t="shared" si="48"/>
        <v>2925.1083072351867</v>
      </c>
      <c r="BA77" s="130">
        <f t="shared" si="49"/>
        <v>1556.5772752749615</v>
      </c>
      <c r="BB77" s="130">
        <f t="shared" si="50"/>
        <v>160.08322599088606</v>
      </c>
      <c r="BC77" s="130">
        <f t="shared" si="51"/>
        <v>1396.4940492840753</v>
      </c>
      <c r="BD77" s="129">
        <f t="shared" si="52"/>
        <v>9026.159848278749</v>
      </c>
      <c r="BE77" s="129">
        <f t="shared" si="57"/>
        <v>220.4442738183048</v>
      </c>
      <c r="BF77" s="130">
        <f t="shared" si="54"/>
        <v>10.260233411456657</v>
      </c>
      <c r="BG77" s="137">
        <f t="shared" si="55"/>
        <v>1.0134749889391237</v>
      </c>
      <c r="BH77" s="47"/>
      <c r="BI77" s="47"/>
      <c r="BJ77" s="47"/>
    </row>
    <row r="78" spans="1:62" ht="16.5" thickBot="1">
      <c r="A78" s="108">
        <f>IF(Data!A78&gt;0,Data!A78,"")</f>
        <v>58</v>
      </c>
      <c r="B78" s="109">
        <f>IF(A78&gt;0,IF(Data!$F$5="lb",Data!B78/2.204,Data!B78),"")</f>
        <v>77.90055595162559</v>
      </c>
      <c r="C78" s="109">
        <f>IF(A78&gt;0,Data!C78,"")</f>
        <v>0.380179226398468</v>
      </c>
      <c r="D78" s="110">
        <f>IF(A78&gt;0,Data!D78,"")</f>
        <v>27.44162368774414</v>
      </c>
      <c r="E78" s="143">
        <f t="shared" si="3"/>
        <v>-0.28824583526925873</v>
      </c>
      <c r="F78" s="144">
        <f t="shared" si="4"/>
        <v>19.341532492652817</v>
      </c>
      <c r="G78" s="145">
        <f t="shared" si="5"/>
        <v>-8.290180808290557</v>
      </c>
      <c r="H78" s="111">
        <f>IF(A78&gt;0,IF(Data!$F$4="F",(Data!F78-32)/1.8,Data!F78),"")</f>
        <v>120.4089864095052</v>
      </c>
      <c r="I78" s="123">
        <f>IF(A78&gt;0,IF(Data!$F$4="F",(Data!G78-32)/1.8,Data!G78),"")</f>
        <v>26.50403340657552</v>
      </c>
      <c r="J78" s="136">
        <f t="shared" si="6"/>
        <v>0.9873103096104574</v>
      </c>
      <c r="K78" s="128">
        <f t="shared" si="7"/>
        <v>0.8662473923472527</v>
      </c>
      <c r="L78" s="128">
        <f t="shared" si="8"/>
        <v>0.8552549811376176</v>
      </c>
      <c r="M78" s="155">
        <f t="shared" si="9"/>
        <v>4.408563349959092</v>
      </c>
      <c r="N78" s="130">
        <f t="shared" si="10"/>
        <v>77.90055595162559</v>
      </c>
      <c r="O78" s="130">
        <f t="shared" si="11"/>
        <v>33.462709146883114</v>
      </c>
      <c r="P78" s="130">
        <f t="shared" si="56"/>
        <v>68.20235390160852</v>
      </c>
      <c r="Q78" s="130">
        <f t="shared" si="13"/>
        <v>27.930527704636766</v>
      </c>
      <c r="R78" s="129">
        <f t="shared" si="37"/>
        <v>10201.299078633</v>
      </c>
      <c r="S78" s="130">
        <f t="shared" si="14"/>
        <v>4.166666666666667</v>
      </c>
      <c r="T78" s="130">
        <f t="shared" si="15"/>
        <v>6.6</v>
      </c>
      <c r="U78" s="134">
        <f t="shared" si="38"/>
        <v>2.68125</v>
      </c>
      <c r="V78" s="130">
        <f t="shared" si="16"/>
        <v>19887</v>
      </c>
      <c r="W78" s="130">
        <f t="shared" si="17"/>
        <v>19.17</v>
      </c>
      <c r="X78" s="130">
        <f t="shared" si="18"/>
        <v>80.46837789414795</v>
      </c>
      <c r="Y78" s="130">
        <f t="shared" si="19"/>
        <v>21.34439731940264</v>
      </c>
      <c r="Z78" s="130">
        <f t="shared" si="20"/>
        <v>6.693540524951951</v>
      </c>
      <c r="AA78" s="130">
        <f t="shared" si="21"/>
        <v>21.952785186027057</v>
      </c>
      <c r="AB78" s="130">
        <f t="shared" si="22"/>
        <v>0.0679492731571898</v>
      </c>
      <c r="AC78" s="130">
        <f t="shared" si="23"/>
        <v>0.6660072822327191</v>
      </c>
      <c r="AD78" s="130">
        <f t="shared" si="24"/>
        <v>41.20318864344695</v>
      </c>
      <c r="AE78" s="130">
        <f t="shared" si="25"/>
        <v>-12.447582825969413</v>
      </c>
      <c r="AF78" s="130">
        <f t="shared" si="26"/>
        <v>0.5708334376224196</v>
      </c>
      <c r="AG78" s="130">
        <f t="shared" si="27"/>
        <v>0.10202482010316317</v>
      </c>
      <c r="AH78" s="130">
        <f t="shared" si="28"/>
        <v>120.82206912871314</v>
      </c>
      <c r="AI78" s="130">
        <f t="shared" si="29"/>
        <v>32.961779505522316</v>
      </c>
      <c r="AJ78" s="130">
        <f t="shared" si="30"/>
        <v>13.175906470369913</v>
      </c>
      <c r="AK78" s="130">
        <f t="shared" si="39"/>
        <v>393.55898640950517</v>
      </c>
      <c r="AL78" s="130">
        <f t="shared" si="31"/>
        <v>3717.8462843858388</v>
      </c>
      <c r="AM78" s="130">
        <f t="shared" si="32"/>
        <v>2807.895063535279</v>
      </c>
      <c r="AN78" s="130">
        <f t="shared" si="33"/>
        <v>2732.9155143967505</v>
      </c>
      <c r="AO78" s="130">
        <f t="shared" si="34"/>
        <v>2702.111300401235</v>
      </c>
      <c r="AP78" s="130">
        <f t="shared" si="35"/>
        <v>3557.210196228859</v>
      </c>
      <c r="AQ78" s="130">
        <f t="shared" si="36"/>
        <v>3271.1468384567834</v>
      </c>
      <c r="AR78" s="130">
        <f t="shared" si="40"/>
        <v>299.6540334065755</v>
      </c>
      <c r="AS78" s="130">
        <f t="shared" si="41"/>
        <v>153.18712180288804</v>
      </c>
      <c r="AT78" s="130">
        <f t="shared" si="42"/>
        <v>-34.951506369986035</v>
      </c>
      <c r="AU78" s="130">
        <f t="shared" si="43"/>
        <v>163.10190657089612</v>
      </c>
      <c r="AV78" s="130">
        <f t="shared" si="44"/>
        <v>326.474678330555</v>
      </c>
      <c r="AW78" s="130">
        <f t="shared" si="45"/>
        <v>91.1809294940907</v>
      </c>
      <c r="AX78" s="130">
        <f t="shared" si="46"/>
        <v>1557.1193038977096</v>
      </c>
      <c r="AY78" s="130">
        <f t="shared" si="47"/>
        <v>622.4317563900476</v>
      </c>
      <c r="AZ78" s="130">
        <f t="shared" si="48"/>
        <v>2878.544190116201</v>
      </c>
      <c r="BA78" s="130">
        <f t="shared" si="49"/>
        <v>1476.5872275575389</v>
      </c>
      <c r="BB78" s="130">
        <f t="shared" si="50"/>
        <v>129.45109236641173</v>
      </c>
      <c r="BC78" s="130">
        <f t="shared" si="51"/>
        <v>1347.136135191127</v>
      </c>
      <c r="BD78" s="129">
        <f t="shared" si="52"/>
        <v>8724.71185107546</v>
      </c>
      <c r="BE78" s="129">
        <f t="shared" si="57"/>
        <v>83.65591437365663</v>
      </c>
      <c r="BF78" s="130">
        <f t="shared" si="54"/>
        <v>8.198863247124951</v>
      </c>
      <c r="BG78" s="137">
        <f t="shared" si="55"/>
        <v>0.8373596446451218</v>
      </c>
      <c r="BH78" s="47"/>
      <c r="BI78" s="47"/>
      <c r="BJ78" s="47"/>
    </row>
    <row r="79" spans="1:62" ht="16.5" thickBot="1">
      <c r="A79" s="108">
        <f>IF(Data!A79&gt;0,Data!A79,"")</f>
        <v>59</v>
      </c>
      <c r="B79" s="109">
        <f>IF(A79&gt;0,IF(Data!$F$5="lb",Data!B79/2.204,Data!B79),"")</f>
        <v>76.99917275762817</v>
      </c>
      <c r="C79" s="109">
        <f>IF(A79&gt;0,Data!C79,"")</f>
        <v>0.31092938780784607</v>
      </c>
      <c r="D79" s="110">
        <f>IF(A79&gt;0,Data!D79,"")</f>
        <v>27.441837310791016</v>
      </c>
      <c r="E79" s="143">
        <f t="shared" si="3"/>
        <v>-0.28647531579406016</v>
      </c>
      <c r="F79" s="144">
        <f t="shared" si="4"/>
        <v>19.34549888360589</v>
      </c>
      <c r="G79" s="145">
        <f t="shared" si="5"/>
        <v>-8.251803121089047</v>
      </c>
      <c r="H79" s="111">
        <f>IF(A79&gt;0,IF(Data!$F$4="F",(Data!F79-32)/1.8,Data!F79),"")</f>
        <v>120.43141682942708</v>
      </c>
      <c r="I79" s="123">
        <f>IF(A79&gt;0,IF(Data!$F$4="F",(Data!G79-32)/1.8,Data!G79),"")</f>
        <v>26.27754635281033</v>
      </c>
      <c r="J79" s="136">
        <f t="shared" si="6"/>
        <v>0.9894345248376347</v>
      </c>
      <c r="K79" s="128">
        <f t="shared" si="7"/>
        <v>0.8663217544776532</v>
      </c>
      <c r="L79" s="128">
        <f t="shared" si="8"/>
        <v>0.8571686534981028</v>
      </c>
      <c r="M79" s="155">
        <f t="shared" si="9"/>
        <v>4.422782525246945</v>
      </c>
      <c r="N79" s="130">
        <f t="shared" si="10"/>
        <v>76.99917275762817</v>
      </c>
      <c r="O79" s="130">
        <f t="shared" si="11"/>
        <v>34.23260860416505</v>
      </c>
      <c r="P79" s="130">
        <f t="shared" si="56"/>
        <v>67.50792202757094</v>
      </c>
      <c r="Q79" s="130">
        <f t="shared" si="13"/>
        <v>28.66433432338146</v>
      </c>
      <c r="R79" s="129">
        <f t="shared" si="37"/>
        <v>13618.301035150635</v>
      </c>
      <c r="S79" s="130">
        <f t="shared" si="14"/>
        <v>4.166666666666667</v>
      </c>
      <c r="T79" s="130">
        <f t="shared" si="15"/>
        <v>6.6</v>
      </c>
      <c r="U79" s="134">
        <f t="shared" si="38"/>
        <v>2.68125</v>
      </c>
      <c r="V79" s="130">
        <f t="shared" si="16"/>
        <v>19887</v>
      </c>
      <c r="W79" s="130">
        <f t="shared" si="17"/>
        <v>19.17</v>
      </c>
      <c r="X79" s="130">
        <f t="shared" si="18"/>
        <v>80.49903642249018</v>
      </c>
      <c r="Y79" s="130">
        <f t="shared" si="19"/>
        <v>21.352529555037183</v>
      </c>
      <c r="Z79" s="130">
        <f t="shared" si="20"/>
        <v>6.674562945201422</v>
      </c>
      <c r="AA79" s="130">
        <f t="shared" si="21"/>
        <v>21.91023323968389</v>
      </c>
      <c r="AB79" s="130">
        <f t="shared" si="22"/>
        <v>0.05791223974039994</v>
      </c>
      <c r="AC79" s="130">
        <f t="shared" si="23"/>
        <v>0.6641190130475415</v>
      </c>
      <c r="AD79" s="130">
        <f t="shared" si="24"/>
        <v>41.32066206757819</v>
      </c>
      <c r="AE79" s="130">
        <f t="shared" si="25"/>
        <v>-12.42518729169155</v>
      </c>
      <c r="AF79" s="130">
        <f t="shared" si="26"/>
        <v>0.4681832347805226</v>
      </c>
      <c r="AG79" s="130">
        <f t="shared" si="27"/>
        <v>0.0872015988138172</v>
      </c>
      <c r="AH79" s="130">
        <f t="shared" si="28"/>
        <v>121.21176301381931</v>
      </c>
      <c r="AI79" s="130">
        <f t="shared" si="29"/>
        <v>32.991425948101</v>
      </c>
      <c r="AJ79" s="130">
        <f t="shared" si="30"/>
        <v>13.175906470369913</v>
      </c>
      <c r="AK79" s="130">
        <f t="shared" si="39"/>
        <v>393.58141682942704</v>
      </c>
      <c r="AL79" s="130">
        <f t="shared" si="31"/>
        <v>3727.422738178884</v>
      </c>
      <c r="AM79" s="130">
        <f t="shared" si="32"/>
        <v>2815.2516018184265</v>
      </c>
      <c r="AN79" s="130">
        <f t="shared" si="33"/>
        <v>2740.10596312993</v>
      </c>
      <c r="AO79" s="130">
        <f t="shared" si="34"/>
        <v>2709.214331402042</v>
      </c>
      <c r="AP79" s="130">
        <f t="shared" si="35"/>
        <v>3566.1014740142436</v>
      </c>
      <c r="AQ79" s="130">
        <f t="shared" si="36"/>
        <v>3279.7630370431452</v>
      </c>
      <c r="AR79" s="130">
        <f t="shared" si="40"/>
        <v>299.4275463528103</v>
      </c>
      <c r="AS79" s="130">
        <f t="shared" si="41"/>
        <v>154.01957534729667</v>
      </c>
      <c r="AT79" s="130">
        <f t="shared" si="42"/>
        <v>-34.98002842582859</v>
      </c>
      <c r="AU79" s="130">
        <f t="shared" si="43"/>
        <v>133.77544983370402</v>
      </c>
      <c r="AV79" s="130">
        <f t="shared" si="44"/>
        <v>328.3886454915472</v>
      </c>
      <c r="AW79" s="130">
        <f t="shared" si="45"/>
        <v>77.93399614377861</v>
      </c>
      <c r="AX79" s="130">
        <f t="shared" si="46"/>
        <v>1558.8040668759809</v>
      </c>
      <c r="AY79" s="130">
        <f t="shared" si="47"/>
        <v>622.5452826167516</v>
      </c>
      <c r="AZ79" s="130">
        <f t="shared" si="48"/>
        <v>2840.48698788323</v>
      </c>
      <c r="BA79" s="130">
        <f t="shared" si="49"/>
        <v>1945.1202739187459</v>
      </c>
      <c r="BB79" s="130">
        <f t="shared" si="50"/>
        <v>143.88355106148765</v>
      </c>
      <c r="BC79" s="130">
        <f t="shared" si="51"/>
        <v>1801.2367228572582</v>
      </c>
      <c r="BD79" s="129">
        <f t="shared" si="52"/>
        <v>11673.180761231888</v>
      </c>
      <c r="BE79" s="129">
        <f t="shared" si="57"/>
        <v>145.91097303494246</v>
      </c>
      <c r="BF79" s="130">
        <f t="shared" si="54"/>
        <v>8.976923943473091</v>
      </c>
      <c r="BG79" s="137">
        <f t="shared" si="55"/>
        <v>0.955428268431033</v>
      </c>
      <c r="BH79" s="47"/>
      <c r="BI79" s="47"/>
      <c r="BJ79" s="47"/>
    </row>
    <row r="80" spans="1:62" ht="16.5" thickBot="1">
      <c r="A80" s="108">
        <f>IF(Data!A80&gt;0,Data!A80,"")</f>
        <v>60</v>
      </c>
      <c r="B80" s="109">
        <f>IF(A80&gt;0,IF(Data!$F$5="lb",Data!B80/2.204,Data!B80),"")</f>
        <v>76.12672172310997</v>
      </c>
      <c r="C80" s="109">
        <f>IF(A80&gt;0,Data!C80,"")</f>
        <v>0.2549199163913727</v>
      </c>
      <c r="D80" s="110">
        <f>IF(A80&gt;0,Data!D80,"")</f>
        <v>27.44159507751465</v>
      </c>
      <c r="E80" s="143">
        <f t="shared" si="3"/>
        <v>-0.28502614502886325</v>
      </c>
      <c r="F80" s="144">
        <f t="shared" si="4"/>
        <v>19.3487307561938</v>
      </c>
      <c r="G80" s="145">
        <f t="shared" si="5"/>
        <v>-8.220324279516536</v>
      </c>
      <c r="H80" s="111">
        <f>IF(A80&gt;0,IF(Data!$F$4="F",(Data!F80-32)/1.8,Data!F80),"")</f>
        <v>120.33801608615451</v>
      </c>
      <c r="I80" s="123">
        <f>IF(A80&gt;0,IF(Data!$F$4="F",(Data!G80-32)/1.8,Data!G80),"")</f>
        <v>26.035741170247395</v>
      </c>
      <c r="J80" s="136">
        <f t="shared" si="6"/>
        <v>0.9911613672826913</v>
      </c>
      <c r="K80" s="128">
        <f t="shared" si="7"/>
        <v>0.8663997394120297</v>
      </c>
      <c r="L80" s="128">
        <f t="shared" si="8"/>
        <v>0.858741950328995</v>
      </c>
      <c r="M80" s="155">
        <f t="shared" si="9"/>
        <v>4.4344074427550435</v>
      </c>
      <c r="N80" s="130">
        <f t="shared" si="10"/>
        <v>76.12672172310997</v>
      </c>
      <c r="O80" s="130">
        <f t="shared" si="11"/>
        <v>34.97779620301721</v>
      </c>
      <c r="P80" s="130">
        <f t="shared" si="56"/>
        <v>66.83278573796888</v>
      </c>
      <c r="Q80" s="130">
        <f t="shared" si="13"/>
        <v>29.3777512853424</v>
      </c>
      <c r="R80" s="129">
        <f t="shared" si="37"/>
        <v>10631.580865829934</v>
      </c>
      <c r="S80" s="130">
        <f t="shared" si="14"/>
        <v>4.166666666666667</v>
      </c>
      <c r="T80" s="130">
        <f t="shared" si="15"/>
        <v>6.6</v>
      </c>
      <c r="U80" s="134">
        <f t="shared" si="38"/>
        <v>2.68125</v>
      </c>
      <c r="V80" s="130">
        <f t="shared" si="16"/>
        <v>19887</v>
      </c>
      <c r="W80" s="130">
        <f t="shared" si="17"/>
        <v>19.17</v>
      </c>
      <c r="X80" s="130">
        <f t="shared" si="18"/>
        <v>80.52380928561051</v>
      </c>
      <c r="Y80" s="130">
        <f t="shared" si="19"/>
        <v>21.359100606262736</v>
      </c>
      <c r="Z80" s="130">
        <f t="shared" si="20"/>
        <v>6.659114052952634</v>
      </c>
      <c r="AA80" s="130">
        <f t="shared" si="21"/>
        <v>21.87548925461711</v>
      </c>
      <c r="AB80" s="130">
        <f t="shared" si="22"/>
        <v>0.04979356006328928</v>
      </c>
      <c r="AC80" s="130">
        <f t="shared" si="23"/>
        <v>0.6625818482687871</v>
      </c>
      <c r="AD80" s="130">
        <f t="shared" si="24"/>
        <v>41.416158847717966</v>
      </c>
      <c r="AE80" s="130">
        <f t="shared" si="25"/>
        <v>-12.406503892303775</v>
      </c>
      <c r="AF80" s="130">
        <f t="shared" si="26"/>
        <v>0.38473724726603176</v>
      </c>
      <c r="AG80" s="130">
        <f t="shared" si="27"/>
        <v>0.07515080618853553</v>
      </c>
      <c r="AH80" s="130">
        <f t="shared" si="28"/>
        <v>121.53035809237068</v>
      </c>
      <c r="AI80" s="130">
        <f t="shared" si="29"/>
        <v>33.015527533351566</v>
      </c>
      <c r="AJ80" s="130">
        <f t="shared" si="30"/>
        <v>13.175906470369913</v>
      </c>
      <c r="AK80" s="130">
        <f t="shared" si="39"/>
        <v>393.4880160861545</v>
      </c>
      <c r="AL80" s="130">
        <f t="shared" si="31"/>
        <v>3732.8395117313967</v>
      </c>
      <c r="AM80" s="130">
        <f t="shared" si="32"/>
        <v>2819.5467266750493</v>
      </c>
      <c r="AN80" s="130">
        <f t="shared" si="33"/>
        <v>2744.3363823005875</v>
      </c>
      <c r="AO80" s="130">
        <f t="shared" si="34"/>
        <v>2713.3865762708097</v>
      </c>
      <c r="AP80" s="130">
        <f t="shared" si="35"/>
        <v>3570.837230318893</v>
      </c>
      <c r="AQ80" s="130">
        <f t="shared" si="36"/>
        <v>3284.842478050702</v>
      </c>
      <c r="AR80" s="130">
        <f t="shared" si="40"/>
        <v>299.18574117024735</v>
      </c>
      <c r="AS80" s="130">
        <f t="shared" si="41"/>
        <v>154.5998741709055</v>
      </c>
      <c r="AT80" s="130">
        <f t="shared" si="42"/>
        <v>-34.98071743902637</v>
      </c>
      <c r="AU80" s="130">
        <f t="shared" si="43"/>
        <v>109.93379624085448</v>
      </c>
      <c r="AV80" s="130">
        <f t="shared" si="44"/>
        <v>329.7588422572232</v>
      </c>
      <c r="AW80" s="130">
        <f t="shared" si="45"/>
        <v>67.16429233018854</v>
      </c>
      <c r="AX80" s="130">
        <f t="shared" si="46"/>
        <v>1560.110537390741</v>
      </c>
      <c r="AY80" s="130">
        <f t="shared" si="47"/>
        <v>622.612208856389</v>
      </c>
      <c r="AZ80" s="130">
        <f t="shared" si="48"/>
        <v>2809.198833807275</v>
      </c>
      <c r="BA80" s="130">
        <f t="shared" si="49"/>
        <v>1501.7963780267105</v>
      </c>
      <c r="BB80" s="130">
        <f t="shared" si="50"/>
        <v>93.968454630228</v>
      </c>
      <c r="BC80" s="130">
        <f t="shared" si="51"/>
        <v>1407.8279233964824</v>
      </c>
      <c r="BD80" s="129">
        <f t="shared" si="52"/>
        <v>9129.784487803223</v>
      </c>
      <c r="BE80" s="129">
        <f t="shared" si="57"/>
        <v>118.67133112651946</v>
      </c>
      <c r="BF80" s="130">
        <f t="shared" si="54"/>
        <v>5.759049850623898</v>
      </c>
      <c r="BG80" s="137">
        <f t="shared" si="55"/>
        <v>0.642809371449271</v>
      </c>
      <c r="BH80" s="47"/>
      <c r="BI80" s="47"/>
      <c r="BJ80" s="47"/>
    </row>
    <row r="81" spans="1:62" ht="16.5" thickBot="1">
      <c r="A81" s="108">
        <f>IF(Data!A81&gt;0,Data!A81,"")</f>
        <v>61</v>
      </c>
      <c r="B81" s="109">
        <f>IF(A81&gt;0,IF(Data!$F$5="lb",Data!B81/2.204,Data!B81),"")</f>
        <v>75.61922159904576</v>
      </c>
      <c r="C81" s="109">
        <f>IF(A81&gt;0,Data!C81,"")</f>
        <v>0.2281343638896942</v>
      </c>
      <c r="D81" s="110">
        <f>IF(A81&gt;0,Data!D81,"")</f>
        <v>27.441898345947266</v>
      </c>
      <c r="E81" s="143">
        <f t="shared" si="3"/>
        <v>-0.28434186174926435</v>
      </c>
      <c r="F81" s="144">
        <f t="shared" si="4"/>
        <v>19.3502522632915</v>
      </c>
      <c r="G81" s="145">
        <f t="shared" si="5"/>
        <v>-8.205713264600611</v>
      </c>
      <c r="H81" s="111">
        <f>IF(A81&gt;0,IF(Data!$F$4="F",(Data!F81-32)/1.8,Data!F81),"")</f>
        <v>120.54219563802083</v>
      </c>
      <c r="I81" s="123">
        <f>IF(A81&gt;0,IF(Data!$F$4="F",(Data!G81-32)/1.8,Data!G81),"")</f>
        <v>25.928408304850258</v>
      </c>
      <c r="J81" s="136">
        <f t="shared" si="6"/>
        <v>0.9919901085162621</v>
      </c>
      <c r="K81" s="128">
        <f t="shared" si="7"/>
        <v>0.8663581512664585</v>
      </c>
      <c r="L81" s="128">
        <f t="shared" si="8"/>
        <v>0.8594187164887623</v>
      </c>
      <c r="M81" s="155">
        <f t="shared" si="9"/>
        <v>4.439920018075535</v>
      </c>
      <c r="N81" s="130">
        <f t="shared" si="10"/>
        <v>75.61922159904576</v>
      </c>
      <c r="O81" s="130">
        <f t="shared" si="11"/>
        <v>35.41126786378203</v>
      </c>
      <c r="P81" s="130">
        <f t="shared" si="56"/>
        <v>66.43872296629175</v>
      </c>
      <c r="Q81" s="130">
        <f t="shared" si="13"/>
        <v>29.794157675758036</v>
      </c>
      <c r="R81" s="129">
        <f t="shared" si="37"/>
        <v>10773.439757743728</v>
      </c>
      <c r="S81" s="130">
        <f t="shared" si="14"/>
        <v>4.166666666666667</v>
      </c>
      <c r="T81" s="130">
        <f t="shared" si="15"/>
        <v>6.6</v>
      </c>
      <c r="U81" s="134">
        <f t="shared" si="38"/>
        <v>2.68125</v>
      </c>
      <c r="V81" s="130">
        <f t="shared" si="16"/>
        <v>19887</v>
      </c>
      <c r="W81" s="130">
        <f t="shared" si="17"/>
        <v>19.17</v>
      </c>
      <c r="X81" s="130">
        <f t="shared" si="18"/>
        <v>80.53568055476364</v>
      </c>
      <c r="Y81" s="130">
        <f t="shared" si="19"/>
        <v>21.362249484022186</v>
      </c>
      <c r="Z81" s="130">
        <f t="shared" si="20"/>
        <v>6.651826645839056</v>
      </c>
      <c r="AA81" s="130">
        <f t="shared" si="21"/>
        <v>21.85920463561733</v>
      </c>
      <c r="AB81" s="130">
        <f t="shared" si="22"/>
        <v>0.0459116478257755</v>
      </c>
      <c r="AC81" s="130">
        <f t="shared" si="23"/>
        <v>0.6618567512609861</v>
      </c>
      <c r="AD81" s="130">
        <f t="shared" si="24"/>
        <v>41.46199051934467</v>
      </c>
      <c r="AE81" s="130">
        <f t="shared" si="25"/>
        <v>-12.398020038273962</v>
      </c>
      <c r="AF81" s="130">
        <f t="shared" si="26"/>
        <v>0.34468842911256387</v>
      </c>
      <c r="AG81" s="130">
        <f t="shared" si="27"/>
        <v>0.06936795271530204</v>
      </c>
      <c r="AH81" s="130">
        <f t="shared" si="28"/>
        <v>121.68143695947053</v>
      </c>
      <c r="AI81" s="130">
        <f t="shared" si="29"/>
        <v>33.027093240298036</v>
      </c>
      <c r="AJ81" s="130">
        <f t="shared" si="30"/>
        <v>13.175906470369913</v>
      </c>
      <c r="AK81" s="130">
        <f t="shared" si="39"/>
        <v>393.6921956380208</v>
      </c>
      <c r="AL81" s="130">
        <f t="shared" si="31"/>
        <v>3745.30321140764</v>
      </c>
      <c r="AM81" s="130">
        <f t="shared" si="32"/>
        <v>2828.9018800215263</v>
      </c>
      <c r="AN81" s="130">
        <f t="shared" si="33"/>
        <v>2753.4275132015223</v>
      </c>
      <c r="AO81" s="130">
        <f t="shared" si="34"/>
        <v>2722.37821836858</v>
      </c>
      <c r="AP81" s="130">
        <f t="shared" si="35"/>
        <v>3582.889482410435</v>
      </c>
      <c r="AQ81" s="130">
        <f t="shared" si="36"/>
        <v>3295.7195421682013</v>
      </c>
      <c r="AR81" s="130">
        <f t="shared" si="40"/>
        <v>299.07840830485026</v>
      </c>
      <c r="AS81" s="130">
        <f t="shared" si="41"/>
        <v>155.2877262434547</v>
      </c>
      <c r="AT81" s="130">
        <f t="shared" si="42"/>
        <v>-35.07278219481777</v>
      </c>
      <c r="AU81" s="130">
        <f t="shared" si="43"/>
        <v>98.49348722405254</v>
      </c>
      <c r="AV81" s="130">
        <f t="shared" si="44"/>
        <v>331.2628935582521</v>
      </c>
      <c r="AW81" s="130">
        <f t="shared" si="45"/>
        <v>61.996837025442396</v>
      </c>
      <c r="AX81" s="130">
        <f t="shared" si="46"/>
        <v>1561.0162992957262</v>
      </c>
      <c r="AY81" s="130">
        <f t="shared" si="47"/>
        <v>622.7555240358733</v>
      </c>
      <c r="AZ81" s="130">
        <f t="shared" si="48"/>
        <v>2795.7399851879836</v>
      </c>
      <c r="BA81" s="130">
        <f t="shared" si="49"/>
        <v>1514.5439889746108</v>
      </c>
      <c r="BB81" s="130">
        <f t="shared" si="50"/>
        <v>86.29391027011316</v>
      </c>
      <c r="BC81" s="130">
        <f t="shared" si="51"/>
        <v>1428.2500787044976</v>
      </c>
      <c r="BD81" s="129">
        <f t="shared" si="52"/>
        <v>9258.895768769118</v>
      </c>
      <c r="BE81" s="129">
        <f t="shared" si="57"/>
        <v>62.77132757389759</v>
      </c>
      <c r="BF81" s="130">
        <f t="shared" si="54"/>
        <v>5.228412567737454</v>
      </c>
      <c r="BG81" s="137">
        <f t="shared" si="55"/>
        <v>0.6012622997506487</v>
      </c>
      <c r="BH81" s="47"/>
      <c r="BI81" s="47"/>
      <c r="BJ81" s="47"/>
    </row>
    <row r="82" spans="1:62" ht="16.5" thickBot="1">
      <c r="A82" s="108">
        <f>IF(Data!A82&gt;0,Data!A82,"")</f>
        <v>62</v>
      </c>
      <c r="B82" s="109">
        <f>IF(A82&gt;0,IF(Data!$F$5="lb",Data!B82/2.204,Data!B82),"")</f>
        <v>74.73436414438237</v>
      </c>
      <c r="C82" s="109">
        <f>IF(A82&gt;0,Data!C82,"")</f>
        <v>0.21977072954177856</v>
      </c>
      <c r="D82" s="110">
        <f>IF(A82&gt;0,Data!D82,"")</f>
        <v>27.44156265258789</v>
      </c>
      <c r="E82" s="143">
        <f t="shared" si="3"/>
        <v>-0.2841167914467946</v>
      </c>
      <c r="F82" s="144">
        <f t="shared" si="4"/>
        <v>19.3507520724778</v>
      </c>
      <c r="G82" s="145">
        <f t="shared" si="5"/>
        <v>-8.20069594488098</v>
      </c>
      <c r="H82" s="111">
        <f>IF(A82&gt;0,IF(Data!$F$4="F",(Data!F82-32)/1.8,Data!F82),"")</f>
        <v>120.9702640109592</v>
      </c>
      <c r="I82" s="123">
        <f>IF(A82&gt;0,IF(Data!$F$4="F",(Data!G82-32)/1.8,Data!G82),"")</f>
        <v>26.39890458848741</v>
      </c>
      <c r="J82" s="136">
        <f t="shared" si="6"/>
        <v>0.9922491786833948</v>
      </c>
      <c r="K82" s="128">
        <f t="shared" si="7"/>
        <v>0.8663857099638829</v>
      </c>
      <c r="L82" s="128">
        <f t="shared" si="8"/>
        <v>0.8596705091346928</v>
      </c>
      <c r="M82" s="155">
        <f t="shared" si="9"/>
        <v>4.441711512399033</v>
      </c>
      <c r="N82" s="130">
        <f t="shared" si="10"/>
        <v>74.73436414438237</v>
      </c>
      <c r="O82" s="130">
        <f t="shared" si="11"/>
        <v>36.16705217244662</v>
      </c>
      <c r="P82" s="130">
        <f t="shared" si="56"/>
        <v>65.74932018180215</v>
      </c>
      <c r="Q82" s="130">
        <f t="shared" si="13"/>
        <v>30.52265005226453</v>
      </c>
      <c r="R82" s="129">
        <f t="shared" si="37"/>
        <v>13661.333755905587</v>
      </c>
      <c r="S82" s="130">
        <f t="shared" si="14"/>
        <v>4.166666666666667</v>
      </c>
      <c r="T82" s="130">
        <f t="shared" si="15"/>
        <v>6.6</v>
      </c>
      <c r="U82" s="134">
        <f t="shared" si="38"/>
        <v>2.68125</v>
      </c>
      <c r="V82" s="130">
        <f t="shared" si="16"/>
        <v>19887</v>
      </c>
      <c r="W82" s="130">
        <f t="shared" si="17"/>
        <v>19.17</v>
      </c>
      <c r="X82" s="130">
        <f t="shared" si="18"/>
        <v>80.53936256275131</v>
      </c>
      <c r="Y82" s="130">
        <f t="shared" si="19"/>
        <v>21.363226143965864</v>
      </c>
      <c r="Z82" s="130">
        <f t="shared" si="20"/>
        <v>6.649447728386698</v>
      </c>
      <c r="AA82" s="130">
        <f t="shared" si="21"/>
        <v>21.85377986471295</v>
      </c>
      <c r="AB82" s="130">
        <f t="shared" si="22"/>
        <v>0.0446988194815745</v>
      </c>
      <c r="AC82" s="130">
        <f t="shared" si="23"/>
        <v>0.6616200489744765</v>
      </c>
      <c r="AD82" s="130">
        <f t="shared" si="24"/>
        <v>41.476316648993375</v>
      </c>
      <c r="AE82" s="130">
        <f t="shared" si="25"/>
        <v>-12.394872189245495</v>
      </c>
      <c r="AF82" s="130">
        <f t="shared" si="26"/>
        <v>0.33217060136316506</v>
      </c>
      <c r="AG82" s="130">
        <f t="shared" si="27"/>
        <v>0.06755965081599101</v>
      </c>
      <c r="AH82" s="130">
        <f t="shared" si="28"/>
        <v>121.73053505193629</v>
      </c>
      <c r="AI82" s="130">
        <f t="shared" si="29"/>
        <v>33.030709844096656</v>
      </c>
      <c r="AJ82" s="130">
        <f t="shared" si="30"/>
        <v>13.175906470369913</v>
      </c>
      <c r="AK82" s="130">
        <f t="shared" si="39"/>
        <v>394.1202640109592</v>
      </c>
      <c r="AL82" s="130">
        <f t="shared" si="31"/>
        <v>3744.8558831664463</v>
      </c>
      <c r="AM82" s="130">
        <f t="shared" si="32"/>
        <v>2828.0157112402144</v>
      </c>
      <c r="AN82" s="130">
        <f t="shared" si="33"/>
        <v>2752.430726172114</v>
      </c>
      <c r="AO82" s="130">
        <f t="shared" si="34"/>
        <v>2721.4208484008414</v>
      </c>
      <c r="AP82" s="130">
        <f t="shared" si="35"/>
        <v>3583.662195281829</v>
      </c>
      <c r="AQ82" s="130">
        <f t="shared" si="36"/>
        <v>3294.483822615132</v>
      </c>
      <c r="AR82" s="130">
        <f t="shared" si="40"/>
        <v>299.5489045884874</v>
      </c>
      <c r="AS82" s="130">
        <f t="shared" si="41"/>
        <v>155.32282841505727</v>
      </c>
      <c r="AT82" s="130">
        <f t="shared" si="42"/>
        <v>-35.052893290000654</v>
      </c>
      <c r="AU82" s="130">
        <f t="shared" si="43"/>
        <v>94.91623156108922</v>
      </c>
      <c r="AV82" s="130">
        <f t="shared" si="44"/>
        <v>331.2800159773288</v>
      </c>
      <c r="AW82" s="130">
        <f t="shared" si="45"/>
        <v>60.380739498314995</v>
      </c>
      <c r="AX82" s="130">
        <f t="shared" si="46"/>
        <v>1561.1464203659568</v>
      </c>
      <c r="AY82" s="130">
        <f t="shared" si="47"/>
        <v>622.7392423106185</v>
      </c>
      <c r="AZ82" s="130">
        <f t="shared" si="48"/>
        <v>2790.7325848383653</v>
      </c>
      <c r="BA82" s="130">
        <f t="shared" si="49"/>
        <v>1917.0880105072665</v>
      </c>
      <c r="BB82" s="130">
        <f t="shared" si="50"/>
        <v>105.8863426295181</v>
      </c>
      <c r="BC82" s="130">
        <f t="shared" si="51"/>
        <v>1811.2016678777484</v>
      </c>
      <c r="BD82" s="129">
        <f t="shared" si="52"/>
        <v>11744.24574539832</v>
      </c>
      <c r="BE82" s="129">
        <f t="shared" si="57"/>
        <v>106.26494748383257</v>
      </c>
      <c r="BF82" s="130">
        <f t="shared" si="54"/>
        <v>6.389149523579113</v>
      </c>
      <c r="BG82" s="137">
        <f t="shared" si="55"/>
        <v>0.742559411257358</v>
      </c>
      <c r="BH82" s="47"/>
      <c r="BI82" s="47"/>
      <c r="BJ82" s="47"/>
    </row>
    <row r="83" spans="1:62" ht="16.5" thickBot="1">
      <c r="A83" s="108">
        <f>IF(Data!A83&gt;0,Data!A83,"")</f>
        <v>63</v>
      </c>
      <c r="B83" s="109">
        <f>IF(A83&gt;0,IF(Data!$F$5="lb",Data!B83/2.204,Data!B83),"")</f>
        <v>73.8595038273806</v>
      </c>
      <c r="C83" s="109">
        <f>IF(A83&gt;0,Data!C83,"")</f>
        <v>0.2292194366455078</v>
      </c>
      <c r="D83" s="110">
        <f>IF(A83&gt;0,Data!D83,"")</f>
        <v>27.44168472290039</v>
      </c>
      <c r="E83" s="143">
        <f t="shared" si="3"/>
        <v>-0.28436440022768494</v>
      </c>
      <c r="F83" s="144">
        <f t="shared" si="4"/>
        <v>19.350202195219055</v>
      </c>
      <c r="G83" s="145">
        <f t="shared" si="5"/>
        <v>-8.20609224600409</v>
      </c>
      <c r="H83" s="111">
        <f>IF(A83&gt;0,IF(Data!$F$4="F",(Data!F83-32)/1.8,Data!F83),"")</f>
        <v>121.11136542426215</v>
      </c>
      <c r="I83" s="123">
        <f>IF(A83&gt;0,IF(Data!$F$4="F",(Data!G83-32)/1.8,Data!G83),"")</f>
        <v>25.908309088812935</v>
      </c>
      <c r="J83" s="136">
        <f t="shared" si="6"/>
        <v>0.9919564655952944</v>
      </c>
      <c r="K83" s="128">
        <f t="shared" si="7"/>
        <v>0.8661617803632276</v>
      </c>
      <c r="L83" s="128">
        <f t="shared" si="8"/>
        <v>0.8591947782828349</v>
      </c>
      <c r="M83" s="155">
        <f t="shared" si="9"/>
        <v>4.439728137722148</v>
      </c>
      <c r="N83" s="130">
        <f t="shared" si="10"/>
        <v>73.8595038273806</v>
      </c>
      <c r="O83" s="130">
        <f t="shared" si="11"/>
        <v>36.91429761449897</v>
      </c>
      <c r="P83" s="130">
        <f t="shared" si="56"/>
        <v>65.06482707893763</v>
      </c>
      <c r="Q83" s="130">
        <f t="shared" si="13"/>
        <v>31.245954364963602</v>
      </c>
      <c r="R83" s="129">
        <f t="shared" si="37"/>
        <v>10291.22877752123</v>
      </c>
      <c r="S83" s="130">
        <f t="shared" si="14"/>
        <v>4.166666666666667</v>
      </c>
      <c r="T83" s="130">
        <f t="shared" si="15"/>
        <v>6.6</v>
      </c>
      <c r="U83" s="134">
        <f t="shared" si="38"/>
        <v>2.68125</v>
      </c>
      <c r="V83" s="130">
        <f t="shared" si="16"/>
        <v>19887</v>
      </c>
      <c r="W83" s="130">
        <f t="shared" si="17"/>
        <v>19.17</v>
      </c>
      <c r="X83" s="130">
        <f t="shared" si="18"/>
        <v>80.53518808645819</v>
      </c>
      <c r="Y83" s="130">
        <f t="shared" si="19"/>
        <v>21.362118855824455</v>
      </c>
      <c r="Z83" s="130">
        <f t="shared" si="20"/>
        <v>6.652073453681576</v>
      </c>
      <c r="AA83" s="130">
        <f t="shared" si="21"/>
        <v>21.859705268894523</v>
      </c>
      <c r="AB83" s="130">
        <f t="shared" si="22"/>
        <v>0.04606856412733862</v>
      </c>
      <c r="AC83" s="130">
        <f t="shared" si="23"/>
        <v>0.6618813086413169</v>
      </c>
      <c r="AD83" s="130">
        <f t="shared" si="24"/>
        <v>41.4601294289932</v>
      </c>
      <c r="AE83" s="130">
        <f t="shared" si="25"/>
        <v>-12.398132624184877</v>
      </c>
      <c r="AF83" s="130">
        <f t="shared" si="26"/>
        <v>0.34631501698701866</v>
      </c>
      <c r="AG83" s="130">
        <f t="shared" si="27"/>
        <v>0.06960245519231582</v>
      </c>
      <c r="AH83" s="130">
        <f t="shared" si="28"/>
        <v>121.67617824376633</v>
      </c>
      <c r="AI83" s="130">
        <f t="shared" si="29"/>
        <v>33.02662423534401</v>
      </c>
      <c r="AJ83" s="130">
        <f t="shared" si="30"/>
        <v>13.175906470369913</v>
      </c>
      <c r="AK83" s="130">
        <f t="shared" si="39"/>
        <v>394.2613654242621</v>
      </c>
      <c r="AL83" s="130">
        <f t="shared" si="31"/>
        <v>3769.3874886007525</v>
      </c>
      <c r="AM83" s="130">
        <f t="shared" si="32"/>
        <v>2846.755938916147</v>
      </c>
      <c r="AN83" s="130">
        <f t="shared" si="33"/>
        <v>2770.7226418706737</v>
      </c>
      <c r="AO83" s="130">
        <f t="shared" si="34"/>
        <v>2739.495649284216</v>
      </c>
      <c r="AP83" s="130">
        <f t="shared" si="35"/>
        <v>3606.667910444103</v>
      </c>
      <c r="AQ83" s="130">
        <f t="shared" si="36"/>
        <v>3316.3947614152858</v>
      </c>
      <c r="AR83" s="130">
        <f t="shared" si="40"/>
        <v>299.0583090888129</v>
      </c>
      <c r="AS83" s="130">
        <f t="shared" si="41"/>
        <v>156.27929314541484</v>
      </c>
      <c r="AT83" s="130">
        <f t="shared" si="42"/>
        <v>-35.29445767936833</v>
      </c>
      <c r="AU83" s="130">
        <f t="shared" si="43"/>
        <v>98.96426846099313</v>
      </c>
      <c r="AV83" s="130">
        <f t="shared" si="44"/>
        <v>333.3313609203287</v>
      </c>
      <c r="AW83" s="130">
        <f t="shared" si="45"/>
        <v>62.20807604580133</v>
      </c>
      <c r="AX83" s="130">
        <f t="shared" si="46"/>
        <v>1561.6769646051669</v>
      </c>
      <c r="AY83" s="130">
        <f t="shared" si="47"/>
        <v>623.0279387909274</v>
      </c>
      <c r="AZ83" s="130">
        <f t="shared" si="48"/>
        <v>2800.193444289264</v>
      </c>
      <c r="BA83" s="130">
        <f t="shared" si="49"/>
        <v>1449.0587497609474</v>
      </c>
      <c r="BB83" s="130">
        <f t="shared" si="50"/>
        <v>82.77768687911035</v>
      </c>
      <c r="BC83" s="130">
        <f t="shared" si="51"/>
        <v>1366.281062881837</v>
      </c>
      <c r="BD83" s="129">
        <f t="shared" si="52"/>
        <v>8842.170027760283</v>
      </c>
      <c r="BE83" s="129">
        <f t="shared" si="57"/>
        <v>109.49272740152598</v>
      </c>
      <c r="BF83" s="130">
        <f t="shared" si="54"/>
        <v>5.017961378253516</v>
      </c>
      <c r="BG83" s="137">
        <f t="shared" si="55"/>
        <v>0.5762918810167789</v>
      </c>
      <c r="BH83" s="47"/>
      <c r="BI83" s="47"/>
      <c r="BJ83" s="47"/>
    </row>
    <row r="84" spans="1:62" ht="16.5" thickBot="1">
      <c r="A84" s="108">
        <f>IF(Data!A84&gt;0,Data!A84,"")</f>
        <v>64</v>
      </c>
      <c r="B84" s="109">
        <f>IF(A84&gt;0,IF(Data!$F$5="lb",Data!B84/2.204,Data!B84),"")</f>
        <v>73.41294885763455</v>
      </c>
      <c r="C84" s="109">
        <f>IF(A84&gt;0,Data!C84,"")</f>
        <v>0.2574314475059509</v>
      </c>
      <c r="D84" s="110">
        <f>IF(A84&gt;0,Data!D84,"")</f>
        <v>27.441532135009766</v>
      </c>
      <c r="E84" s="143">
        <f t="shared" si="3"/>
        <v>-0.28508934872355385</v>
      </c>
      <c r="F84" s="144">
        <f t="shared" si="4"/>
        <v>19.34859007554332</v>
      </c>
      <c r="G84" s="145">
        <f t="shared" si="5"/>
        <v>-8.22165778321942</v>
      </c>
      <c r="H84" s="111">
        <f>IF(A84&gt;0,IF(Data!$F$4="F",(Data!F84-32)/1.8,Data!F84),"")</f>
        <v>121.10256618923611</v>
      </c>
      <c r="I84" s="123">
        <f>IF(A84&gt;0,IF(Data!$F$4="F",(Data!G84-32)/1.8,Data!G84),"")</f>
        <v>25.852962070041233</v>
      </c>
      <c r="J84" s="136">
        <f t="shared" si="6"/>
        <v>0.9910837466774884</v>
      </c>
      <c r="K84" s="128">
        <f t="shared" si="7"/>
        <v>0.8660841060617746</v>
      </c>
      <c r="L84" s="128">
        <f t="shared" si="8"/>
        <v>0.8583618807735267</v>
      </c>
      <c r="M84" s="155">
        <f t="shared" si="9"/>
        <v>4.433896591851577</v>
      </c>
      <c r="N84" s="130">
        <f t="shared" si="10"/>
        <v>73.41294885763455</v>
      </c>
      <c r="O84" s="130">
        <f t="shared" si="11"/>
        <v>37.29571412097871</v>
      </c>
      <c r="P84" s="130">
        <f t="shared" si="56"/>
        <v>64.71434972094622</v>
      </c>
      <c r="Q84" s="130">
        <f t="shared" si="13"/>
        <v>31.616304020026142</v>
      </c>
      <c r="R84" s="129">
        <f t="shared" si="37"/>
        <v>11138.523818247748</v>
      </c>
      <c r="S84" s="130">
        <f t="shared" si="14"/>
        <v>4.166666666666667</v>
      </c>
      <c r="T84" s="130">
        <f t="shared" si="15"/>
        <v>6.6</v>
      </c>
      <c r="U84" s="134">
        <f t="shared" si="38"/>
        <v>2.68125</v>
      </c>
      <c r="V84" s="130">
        <f t="shared" si="16"/>
        <v>19887</v>
      </c>
      <c r="W84" s="130">
        <f t="shared" si="17"/>
        <v>19.17</v>
      </c>
      <c r="X84" s="130">
        <f t="shared" si="18"/>
        <v>80.52269420070371</v>
      </c>
      <c r="Y84" s="130">
        <f t="shared" si="19"/>
        <v>21.358804827772868</v>
      </c>
      <c r="Z84" s="130">
        <f t="shared" si="20"/>
        <v>6.659789056730954</v>
      </c>
      <c r="AA84" s="130">
        <f t="shared" si="21"/>
        <v>21.876988912818963</v>
      </c>
      <c r="AB84" s="130">
        <f t="shared" si="22"/>
        <v>0.050157487196592854</v>
      </c>
      <c r="AC84" s="130">
        <f t="shared" si="23"/>
        <v>0.66264901114473</v>
      </c>
      <c r="AD84" s="130">
        <f t="shared" si="24"/>
        <v>41.411866121409226</v>
      </c>
      <c r="AE84" s="130">
        <f t="shared" si="25"/>
        <v>-12.407258812650245</v>
      </c>
      <c r="AF84" s="130">
        <f t="shared" si="26"/>
        <v>0.38848839004714825</v>
      </c>
      <c r="AG84" s="130">
        <f t="shared" si="27"/>
        <v>0.07569238971615684</v>
      </c>
      <c r="AH84" s="130">
        <f t="shared" si="28"/>
        <v>121.51635759872379</v>
      </c>
      <c r="AI84" s="130">
        <f t="shared" si="29"/>
        <v>33.01444436629633</v>
      </c>
      <c r="AJ84" s="130">
        <f t="shared" si="30"/>
        <v>13.175906470369913</v>
      </c>
      <c r="AK84" s="130">
        <f t="shared" si="39"/>
        <v>394.25256618923606</v>
      </c>
      <c r="AL84" s="130">
        <f t="shared" si="31"/>
        <v>3771.1418676730373</v>
      </c>
      <c r="AM84" s="130">
        <f t="shared" si="32"/>
        <v>2848.1203133109034</v>
      </c>
      <c r="AN84" s="130">
        <f t="shared" si="33"/>
        <v>2772.06022802196</v>
      </c>
      <c r="AO84" s="130">
        <f t="shared" si="34"/>
        <v>2740.816134600114</v>
      </c>
      <c r="AP84" s="130">
        <f t="shared" si="35"/>
        <v>3608.260247049552</v>
      </c>
      <c r="AQ84" s="130">
        <f t="shared" si="36"/>
        <v>3317.9988384200205</v>
      </c>
      <c r="AR84" s="130">
        <f t="shared" si="40"/>
        <v>299.00296207004124</v>
      </c>
      <c r="AS84" s="130">
        <f t="shared" si="41"/>
        <v>156.17002214891698</v>
      </c>
      <c r="AT84" s="130">
        <f t="shared" si="42"/>
        <v>-35.337365856814884</v>
      </c>
      <c r="AU84" s="130">
        <f t="shared" si="43"/>
        <v>111.0164081797106</v>
      </c>
      <c r="AV84" s="130">
        <f t="shared" si="44"/>
        <v>333.0539935244193</v>
      </c>
      <c r="AW84" s="130">
        <f t="shared" si="45"/>
        <v>67.6511527009923</v>
      </c>
      <c r="AX84" s="130">
        <f t="shared" si="46"/>
        <v>1561.153992400137</v>
      </c>
      <c r="AY84" s="130">
        <f t="shared" si="47"/>
        <v>623.049073959513</v>
      </c>
      <c r="AZ84" s="130">
        <f t="shared" si="48"/>
        <v>2816.7572770568745</v>
      </c>
      <c r="BA84" s="130">
        <f t="shared" si="49"/>
        <v>1577.639564575887</v>
      </c>
      <c r="BB84" s="130">
        <f t="shared" si="50"/>
        <v>99.31370611029179</v>
      </c>
      <c r="BC84" s="130">
        <f t="shared" si="51"/>
        <v>1478.3258584655953</v>
      </c>
      <c r="BD84" s="129">
        <f t="shared" si="52"/>
        <v>9560.88425367186</v>
      </c>
      <c r="BE84" s="129">
        <f t="shared" si="57"/>
        <v>62.14577937855448</v>
      </c>
      <c r="BF84" s="130">
        <f t="shared" si="54"/>
        <v>6.092484597892125</v>
      </c>
      <c r="BG84" s="137">
        <f t="shared" si="55"/>
        <v>0.6783136607540635</v>
      </c>
      <c r="BH84" s="47"/>
      <c r="BI84" s="47"/>
      <c r="BJ84" s="47"/>
    </row>
    <row r="85" spans="1:62" ht="16.5" thickBot="1">
      <c r="A85" s="108">
        <f>IF(Data!A85&gt;0,Data!A85,"")</f>
        <v>65</v>
      </c>
      <c r="B85" s="109">
        <f>IF(A85&gt;0,IF(Data!$F$5="lb",Data!B85/2.204,Data!B85),"")</f>
        <v>72.43548633831598</v>
      </c>
      <c r="C85" s="109">
        <f>IF(A85&gt;0,Data!C85,"")</f>
        <v>0.2814981937408447</v>
      </c>
      <c r="D85" s="110">
        <f>IF(A85&gt;0,Data!D85,"")</f>
        <v>27.44156265258789</v>
      </c>
      <c r="E85" s="143">
        <f aca="true" t="shared" si="58" ref="E85:E148">IF(A85&gt;0,($H$10/(C85+D85))-1,"")</f>
        <v>-0.28571075884352715</v>
      </c>
      <c r="F85" s="144">
        <f aca="true" t="shared" si="59" ref="F85:F148">IF(A85&gt;0,($H$10+(E85)*20.94)/(E85+1),"")</f>
        <v>19.347205596854433</v>
      </c>
      <c r="G85" s="145">
        <f aca="true" t="shared" si="60" ref="G85:G148">IF(A85&gt;0,F85-D85-C85/2,"")</f>
        <v>-8.23510615260388</v>
      </c>
      <c r="H85" s="111">
        <f>IF(A85&gt;0,IF(Data!$F$4="F",(Data!F85-32)/1.8,Data!F85),"")</f>
        <v>121.41946580674913</v>
      </c>
      <c r="I85" s="123">
        <f>IF(A85&gt;0,IF(Data!$F$4="F",(Data!G85-32)/1.8,Data!G85),"")</f>
        <v>25.51720937093099</v>
      </c>
      <c r="J85" s="136">
        <f aca="true" t="shared" si="61" ref="J85:J148">IF(A85&gt;0,(V85-(AF85*282.993+AG85*890.156))/V85,"")</f>
        <v>0.9903408930974309</v>
      </c>
      <c r="K85" s="128">
        <f aca="true" t="shared" si="62" ref="K85:K148">IF(A85&gt;0,((V85-SUM(AS85:AY85))/V85)/J85,"")</f>
        <v>0.865819150323851</v>
      </c>
      <c r="L85" s="128">
        <f aca="true" t="shared" si="63" ref="L85:L148">IF(A85&gt;0,BD85/R85,"")</f>
        <v>0.8574561105925814</v>
      </c>
      <c r="M85" s="155">
        <f aca="true" t="shared" si="64" ref="M85:M148">IF(A85&gt;0,(32*Y85+28*X85)/(Z85*(12*S85+T85+16*U85)),"")</f>
        <v>4.428907403508817</v>
      </c>
      <c r="N85" s="130">
        <f aca="true" t="shared" si="65" ref="N85:N148">IF(A85&gt;0,$B85,"")</f>
        <v>72.43548633831598</v>
      </c>
      <c r="O85" s="130">
        <f aca="true" t="shared" si="66" ref="O85:O148">IF(A85&gt;0,100*(($B$20)-($B85))/($B$20),"")</f>
        <v>38.13059529931467</v>
      </c>
      <c r="P85" s="130">
        <f t="shared" si="56"/>
        <v>63.94464567216458</v>
      </c>
      <c r="Q85" s="130">
        <f aca="true" t="shared" si="67" ref="Q85:Q148">IF(A85&gt;0,100*($AI$4-$P85)/$AI$4,"")</f>
        <v>32.429650795407575</v>
      </c>
      <c r="R85" s="129">
        <f t="shared" si="37"/>
        <v>14413.568002957174</v>
      </c>
      <c r="S85" s="130">
        <f aca="true" t="shared" si="68" ref="S85:S148">IF(A85&gt;0,(+$AI$5/12),"")</f>
        <v>4.166666666666667</v>
      </c>
      <c r="T85" s="130">
        <f aca="true" t="shared" si="69" ref="T85:T148">IF(A85&gt;0,$AI$6,"")</f>
        <v>6.6</v>
      </c>
      <c r="U85" s="134">
        <f t="shared" si="38"/>
        <v>2.68125</v>
      </c>
      <c r="V85" s="130">
        <f aca="true" t="shared" si="70" ref="V85:V148">IF(A85&gt;0,$AA$13,"")</f>
        <v>19887</v>
      </c>
      <c r="W85" s="130">
        <f aca="true" t="shared" si="71" ref="W85:W148">IF(A85&gt;0,$AI$2,"")</f>
        <v>19.17</v>
      </c>
      <c r="X85" s="130">
        <f aca="true" t="shared" si="72" ref="X85:X148">IF(A85&gt;0,100-$C85-$D85-$G85,"")</f>
        <v>80.51204530627514</v>
      </c>
      <c r="Y85" s="130">
        <f aca="true" t="shared" si="73" ref="Y85:Y148">IF(A85&gt;0,X85/3.77,"")</f>
        <v>21.355980187340887</v>
      </c>
      <c r="Z85" s="130">
        <f aca="true" t="shared" si="74" ref="Z85:Z148">IF(A85&gt;0,(8*$D85+4*$G85+6*$C85-4*Y85)/(4*S85-T85+2*U85),"")</f>
        <v>6.666409615341235</v>
      </c>
      <c r="AA85" s="130">
        <f aca="true" t="shared" si="75" ref="AA85:AA148">IF(A85&gt;0,(T85*Z85-4*AB85)/2,"")</f>
        <v>21.891859962106587</v>
      </c>
      <c r="AB85" s="130">
        <f aca="true" t="shared" si="76" ref="AB85:AB148">IF(A85&gt;0,+Z85*S85-$D85-$C85,"")</f>
        <v>0.05364588425974404</v>
      </c>
      <c r="AC85" s="130">
        <f aca="true" t="shared" si="77" ref="AC85:AC148">IF(A85&gt;0,0.001*$Z85*(12*$S85+$T85+16*$U85),"")</f>
        <v>0.6633077567264528</v>
      </c>
      <c r="AD85" s="130">
        <f aca="true" t="shared" si="78" ref="AD85:AD148">IF(A85&gt;0,D85/(0.001*$Z85*(12*$S85+$T85+16*$U85)),"")</f>
        <v>41.37078509079572</v>
      </c>
      <c r="AE85" s="130">
        <f aca="true" t="shared" si="79" ref="AE85:AE148">IF(A85&gt;0,G85/(0.001*$Z85*(12*$S85+$T85+16*$U85)),"")</f>
        <v>-12.4152115953621</v>
      </c>
      <c r="AF85" s="130">
        <f aca="true" t="shared" si="80" ref="AF85:AF148">IF(A85&gt;0,C85/(0.001*$Z85*(12*$S85+$T85+16*$U85)),"")</f>
        <v>0.4243854996210065</v>
      </c>
      <c r="AG85" s="130">
        <f aca="true" t="shared" si="81" ref="AG85:AG148">IF(A85&gt;0,+AB85/AC85,"")</f>
        <v>0.0808763107558043</v>
      </c>
      <c r="AH85" s="130">
        <f aca="true" t="shared" si="82" ref="AH85:AH148">IF(A85&gt;0,+X85/AC85,"")</f>
        <v>121.37962279171445</v>
      </c>
      <c r="AI85" s="130">
        <f aca="true" t="shared" si="83" ref="AI85:AI148">IF(A85&gt;0,AA85/AC85,"")</f>
        <v>33.004076524217034</v>
      </c>
      <c r="AJ85" s="130">
        <f aca="true" t="shared" si="84" ref="AJ85:AJ148">IF(A85&gt;0,W85/(100-W85)*55.556,"")</f>
        <v>13.175906470369913</v>
      </c>
      <c r="AK85" s="130">
        <f t="shared" si="39"/>
        <v>394.5694658067491</v>
      </c>
      <c r="AL85" s="130">
        <f aca="true" t="shared" si="85" ref="AL85:AL148">IF(A85&gt;0,($AK85-$AR85)*(0.029*(($AK85+$AR85)/2)+29.54),"")</f>
        <v>3796.955595321325</v>
      </c>
      <c r="AM85" s="130">
        <f aca="true" t="shared" si="86" ref="AM85:AM148">IF(A85&gt;0,($AK85-$AR85)*(0.009*(($AK85+$AR85)/2)+26.782),"")</f>
        <v>2867.6275581352998</v>
      </c>
      <c r="AN85" s="130">
        <f aca="true" t="shared" si="87" ref="AN85:AN148">IF(A85&gt;0,($AK85-$AR85)*(0.0056*(($AK85+$AR85)/2)+27.162),"")</f>
        <v>2791.049381211784</v>
      </c>
      <c r="AO85" s="130">
        <f aca="true" t="shared" si="88" ref="AO85:AO148">IF(A85&gt;0,($AK85-$AR85)*(0.0062*(($AK85+$AR85)/2)+26.626),"")</f>
        <v>2759.5906601802667</v>
      </c>
      <c r="AP85" s="130">
        <f aca="true" t="shared" si="89" ref="AP85:AP148">IF(A85&gt;0,($AK85-$AR85)*(0.056*(($AK85+$AR85)/2)+18.471),"")</f>
        <v>3632.933497646906</v>
      </c>
      <c r="AQ85" s="130">
        <f aca="true" t="shared" si="90" ref="AQ85:AQ148">IF(A85&gt;0,($AK85-$AR85)*(0.0057*(($AK85+$AR85)/2)+32.859),"")</f>
        <v>3340.7286841963205</v>
      </c>
      <c r="AR85" s="130">
        <f t="shared" si="40"/>
        <v>298.66720937093095</v>
      </c>
      <c r="AS85" s="130">
        <f t="shared" si="41"/>
        <v>157.08303393333284</v>
      </c>
      <c r="AT85" s="130">
        <f t="shared" si="42"/>
        <v>-35.60220291094128</v>
      </c>
      <c r="AU85" s="130">
        <f t="shared" si="43"/>
        <v>121.28260658035997</v>
      </c>
      <c r="AV85" s="130">
        <f t="shared" si="44"/>
        <v>334.95807339221903</v>
      </c>
      <c r="AW85" s="130">
        <f t="shared" si="45"/>
        <v>72.28635153565459</v>
      </c>
      <c r="AX85" s="130">
        <f t="shared" si="46"/>
        <v>1561.413905833161</v>
      </c>
      <c r="AY85" s="130">
        <f t="shared" si="47"/>
        <v>623.3485602815474</v>
      </c>
      <c r="AZ85" s="130">
        <f t="shared" si="48"/>
        <v>2834.7703286453334</v>
      </c>
      <c r="BA85" s="130">
        <f t="shared" si="49"/>
        <v>2054.5660433798344</v>
      </c>
      <c r="BB85" s="130">
        <f t="shared" si="50"/>
        <v>139.22192744949498</v>
      </c>
      <c r="BC85" s="130">
        <f t="shared" si="51"/>
        <v>1915.3441159303393</v>
      </c>
      <c r="BD85" s="129">
        <f t="shared" si="52"/>
        <v>12359.00195957734</v>
      </c>
      <c r="BE85" s="129">
        <f t="shared" si="57"/>
        <v>147.8529579434119</v>
      </c>
      <c r="BF85" s="130">
        <f t="shared" si="54"/>
        <v>8.612332640980405</v>
      </c>
      <c r="BG85" s="137">
        <f t="shared" si="55"/>
        <v>0.9378719403888627</v>
      </c>
      <c r="BH85" s="47"/>
      <c r="BI85" s="47"/>
      <c r="BJ85" s="47"/>
    </row>
    <row r="86" spans="1:62" ht="16.5" thickBot="1">
      <c r="A86" s="108">
        <f>IF(Data!A86&gt;0,Data!A86,"")</f>
        <v>66</v>
      </c>
      <c r="B86" s="109">
        <f>IF(A86&gt;0,IF(Data!$F$5="lb",Data!B86/2.204,Data!B86),"")</f>
        <v>71.57576711554276</v>
      </c>
      <c r="C86" s="109">
        <f>IF(A86&gt;0,Data!C86,"")</f>
        <v>0.2896057963371277</v>
      </c>
      <c r="D86" s="110">
        <f>IF(A86&gt;0,Data!D86,"")</f>
        <v>27.44159507751465</v>
      </c>
      <c r="E86" s="143">
        <f t="shared" si="58"/>
        <v>-0.2859204264345152</v>
      </c>
      <c r="F86" s="144">
        <f t="shared" si="59"/>
        <v>19.34673792157312</v>
      </c>
      <c r="G86" s="145">
        <f t="shared" si="60"/>
        <v>-8.239660054110093</v>
      </c>
      <c r="H86" s="111">
        <f>IF(A86&gt;0,IF(Data!$F$4="F",(Data!F86-32)/1.8,Data!F86),"")</f>
        <v>121.59276326497395</v>
      </c>
      <c r="I86" s="123">
        <f>IF(A86&gt;0,IF(Data!$F$4="F",(Data!G86-32)/1.8,Data!G86),"")</f>
        <v>25.72715335422092</v>
      </c>
      <c r="J86" s="136">
        <f t="shared" si="61"/>
        <v>0.9900909782160905</v>
      </c>
      <c r="K86" s="128">
        <f t="shared" si="62"/>
        <v>0.8658110563643456</v>
      </c>
      <c r="L86" s="128">
        <f t="shared" si="63"/>
        <v>0.8572317157460816</v>
      </c>
      <c r="M86" s="155">
        <f t="shared" si="64"/>
        <v>4.42722541284055</v>
      </c>
      <c r="N86" s="130">
        <f t="shared" si="65"/>
        <v>71.57576711554276</v>
      </c>
      <c r="O86" s="130">
        <f t="shared" si="66"/>
        <v>38.86490826125552</v>
      </c>
      <c r="P86" s="130">
        <f t="shared" si="56"/>
        <v>63.264802981573034</v>
      </c>
      <c r="Q86" s="130">
        <f t="shared" si="67"/>
        <v>33.148041014394394</v>
      </c>
      <c r="R86" s="129">
        <f aca="true" t="shared" si="91" ref="R86:R149">IF(A86&gt;0,IF(B87&gt;0,(((P85+P86)/2)-((P87+P86)/2))*V86,((P85+P86)/2)*V86),"")</f>
        <v>10096.896302595853</v>
      </c>
      <c r="S86" s="130">
        <f t="shared" si="68"/>
        <v>4.166666666666667</v>
      </c>
      <c r="T86" s="130">
        <f t="shared" si="69"/>
        <v>6.6</v>
      </c>
      <c r="U86" s="134">
        <f aca="true" t="shared" si="92" ref="U86:U149">IF(A86&gt;0,$AI$7/16,"")</f>
        <v>2.68125</v>
      </c>
      <c r="V86" s="130">
        <f t="shared" si="70"/>
        <v>19887</v>
      </c>
      <c r="W86" s="130">
        <f t="shared" si="71"/>
        <v>19.17</v>
      </c>
      <c r="X86" s="130">
        <f t="shared" si="72"/>
        <v>80.50845918025831</v>
      </c>
      <c r="Y86" s="130">
        <f t="shared" si="73"/>
        <v>21.35502896028072</v>
      </c>
      <c r="Z86" s="130">
        <f t="shared" si="74"/>
        <v>6.668645271871027</v>
      </c>
      <c r="AA86" s="130">
        <f t="shared" si="75"/>
        <v>21.89688721261938</v>
      </c>
      <c r="AB86" s="130">
        <f t="shared" si="76"/>
        <v>0.054821092277503425</v>
      </c>
      <c r="AC86" s="130">
        <f t="shared" si="77"/>
        <v>0.6635302045511672</v>
      </c>
      <c r="AD86" s="130">
        <f t="shared" si="78"/>
        <v>41.35696444456061</v>
      </c>
      <c r="AE86" s="130">
        <f t="shared" si="79"/>
        <v>-12.417912549563075</v>
      </c>
      <c r="AF86" s="130">
        <f t="shared" si="80"/>
        <v>0.4364621148377506</v>
      </c>
      <c r="AG86" s="130">
        <f t="shared" si="81"/>
        <v>0.0826203417741716</v>
      </c>
      <c r="AH86" s="130">
        <f t="shared" si="82"/>
        <v>121.33352578081472</v>
      </c>
      <c r="AI86" s="130">
        <f t="shared" si="83"/>
        <v>33.000588462180296</v>
      </c>
      <c r="AJ86" s="130">
        <f t="shared" si="84"/>
        <v>13.175906470369913</v>
      </c>
      <c r="AK86" s="130">
        <f aca="true" t="shared" si="93" ref="AK86:AK149">IF(A86&gt;0,H86+273.15,"")</f>
        <v>394.7427632649739</v>
      </c>
      <c r="AL86" s="130">
        <f t="shared" si="85"/>
        <v>3796.037413881342</v>
      </c>
      <c r="AM86" s="130">
        <f t="shared" si="86"/>
        <v>2866.697098218038</v>
      </c>
      <c r="AN86" s="130">
        <f t="shared" si="87"/>
        <v>2790.085726184118</v>
      </c>
      <c r="AO86" s="130">
        <f t="shared" si="88"/>
        <v>2758.650048177838</v>
      </c>
      <c r="AP86" s="130">
        <f t="shared" si="89"/>
        <v>3632.573978543972</v>
      </c>
      <c r="AQ86" s="130">
        <f t="shared" si="90"/>
        <v>3339.556820663325</v>
      </c>
      <c r="AR86" s="130">
        <f aca="true" t="shared" si="94" ref="AR86:AR149">IF(A86&gt;0,I86+273.15,"")</f>
        <v>298.8771533542209</v>
      </c>
      <c r="AS86" s="130">
        <f aca="true" t="shared" si="95" ref="AS86:AS149">IF(A86&gt;0,0.001*AD86*(AL86),"")</f>
        <v>156.9925843561125</v>
      </c>
      <c r="AT86" s="130">
        <f aca="true" t="shared" si="96" ref="AT86:AT149">IF(A86&gt;0,0.001*AE86*(AM86),"")</f>
        <v>-35.59839387175782</v>
      </c>
      <c r="AU86" s="130">
        <f aca="true" t="shared" si="97" ref="AU86:AU149">IF(A86&gt;0,0.001*AF86*(AN86+282993),"")</f>
        <v>124.7334899809085</v>
      </c>
      <c r="AV86" s="130">
        <f aca="true" t="shared" si="98" ref="AV86:AV149">IF(A86&gt;0,0.001*AH86*(AO86),"")</f>
        <v>334.7167367408315</v>
      </c>
      <c r="AW86" s="130">
        <f aca="true" t="shared" si="99" ref="AW86:AW149">IF(A86&gt;0,0.001*AG86*(AP86+890156),"")</f>
        <v>73.84511745595677</v>
      </c>
      <c r="AX86" s="130">
        <f aca="true" t="shared" si="100" ref="AX86:AX149">IF(A86&gt;0,0.001*AI86*(AQ86+43969),"")</f>
        <v>1561.2102143783832</v>
      </c>
      <c r="AY86" s="130">
        <f aca="true" t="shared" si="101" ref="AY86:AY149">IF(A86&gt;0,0.001*AJ86*(AQ86+43969),"")</f>
        <v>623.3331199172407</v>
      </c>
      <c r="AZ86" s="130">
        <f aca="true" t="shared" si="102" ref="AZ86:AZ149">IF(A86&gt;0,SUM(AS86:AY86),"")</f>
        <v>2839.2328689576752</v>
      </c>
      <c r="BA86" s="130">
        <f aca="true" t="shared" si="103" ref="BA86:BA149">IF(A86&gt;0,IF(B87&gt;0,(((P85+P86)/2)-((P86+P87)/2))*AZ86,((P85+P86)/2)*AZ86),"")</f>
        <v>1441.5165614113425</v>
      </c>
      <c r="BB86" s="130">
        <f aca="true" t="shared" si="104" ref="BB86:BB149">IF(A86&gt;0,55.6344*BG86+10.1069*BF86,"")</f>
        <v>100.0501748260865</v>
      </c>
      <c r="BC86" s="130">
        <f aca="true" t="shared" si="105" ref="BC86:BC149">IF(A86&gt;0,BA86-BB86,"")</f>
        <v>1341.466386585256</v>
      </c>
      <c r="BD86" s="129">
        <f aca="true" t="shared" si="106" ref="BD86:BD149">IF(A86&gt;0,+R86-BA86,"")</f>
        <v>8655.37974118451</v>
      </c>
      <c r="BE86" s="129">
        <f t="shared" si="57"/>
        <v>133.9702875225972</v>
      </c>
      <c r="BF86" s="130">
        <f aca="true" t="shared" si="107" ref="BF86:BF149">IF(A86&gt;0,IF(B87&gt;0,(((P85+P86)/2)-((P86+P87)/2))*28*AF86,((P85+P86)/2)*28*AF86),"")</f>
        <v>6.204734549142486</v>
      </c>
      <c r="BG86" s="137">
        <f aca="true" t="shared" si="108" ref="BG86:BG149">IF(A86&gt;0,IF(B87&gt;0,(((P85+P86)/2)-((P86+P87)/2))*16*AG86,((P85+P86)/2)*16*AG86),"")</f>
        <v>0.6711592685704945</v>
      </c>
      <c r="BH86" s="47"/>
      <c r="BI86" s="47"/>
      <c r="BJ86" s="47"/>
    </row>
    <row r="87" spans="1:62" ht="16.5" thickBot="1">
      <c r="A87" s="108">
        <f>IF(Data!A87&gt;0,Data!A87,"")</f>
        <v>67</v>
      </c>
      <c r="B87" s="109">
        <f>IF(A87&gt;0,IF(Data!$F$5="lb",Data!B87/2.204,Data!B87),"")</f>
        <v>71.15261957130501</v>
      </c>
      <c r="C87" s="109">
        <f>IF(A87&gt;0,Data!C87,"")</f>
        <v>0.28958141803741455</v>
      </c>
      <c r="D87" s="110">
        <f>IF(A87&gt;0,Data!D87,"")</f>
        <v>27.44162368774414</v>
      </c>
      <c r="E87" s="143">
        <f t="shared" si="58"/>
        <v>-0.285920535406866</v>
      </c>
      <c r="F87" s="144">
        <f t="shared" si="59"/>
        <v>19.346737678432795</v>
      </c>
      <c r="G87" s="145">
        <f t="shared" si="60"/>
        <v>-8.239676718330053</v>
      </c>
      <c r="H87" s="111">
        <f>IF(A87&gt;0,IF(Data!$F$4="F",(Data!F87-32)/1.8,Data!F87),"")</f>
        <v>121.83228386773003</v>
      </c>
      <c r="I87" s="123">
        <f>IF(A87&gt;0,IF(Data!$F$4="F",(Data!G87-32)/1.8,Data!G87),"")</f>
        <v>26.065309312608505</v>
      </c>
      <c r="J87" s="136">
        <f t="shared" si="61"/>
        <v>0.9900917364181996</v>
      </c>
      <c r="K87" s="128">
        <f t="shared" si="62"/>
        <v>0.8658401403781956</v>
      </c>
      <c r="L87" s="128">
        <f t="shared" si="63"/>
        <v>0.8572611680476253</v>
      </c>
      <c r="M87" s="155">
        <f t="shared" si="64"/>
        <v>4.427225977555581</v>
      </c>
      <c r="N87" s="130">
        <f t="shared" si="65"/>
        <v>71.15261957130501</v>
      </c>
      <c r="O87" s="130">
        <f t="shared" si="66"/>
        <v>39.22633175664383</v>
      </c>
      <c r="P87" s="130">
        <f t="shared" si="56"/>
        <v>62.92921888053226</v>
      </c>
      <c r="Q87" s="130">
        <f t="shared" si="67"/>
        <v>33.50265295502643</v>
      </c>
      <c r="R87" s="129">
        <f t="shared" si="91"/>
        <v>11006.286726665488</v>
      </c>
      <c r="S87" s="130">
        <f t="shared" si="68"/>
        <v>4.166666666666667</v>
      </c>
      <c r="T87" s="130">
        <f t="shared" si="69"/>
        <v>6.6</v>
      </c>
      <c r="U87" s="134">
        <f t="shared" si="92"/>
        <v>2.68125</v>
      </c>
      <c r="V87" s="130">
        <f t="shared" si="70"/>
        <v>19887</v>
      </c>
      <c r="W87" s="130">
        <f t="shared" si="71"/>
        <v>19.17</v>
      </c>
      <c r="X87" s="130">
        <f t="shared" si="72"/>
        <v>80.5084716125485</v>
      </c>
      <c r="Y87" s="130">
        <f t="shared" si="73"/>
        <v>21.355032257970425</v>
      </c>
      <c r="Z87" s="130">
        <f t="shared" si="74"/>
        <v>6.668645451038122</v>
      </c>
      <c r="AA87" s="130">
        <f t="shared" si="75"/>
        <v>21.89689477467122</v>
      </c>
      <c r="AB87" s="130">
        <f t="shared" si="76"/>
        <v>0.05481760687728965</v>
      </c>
      <c r="AC87" s="130">
        <f t="shared" si="77"/>
        <v>0.6635302223782932</v>
      </c>
      <c r="AD87" s="130">
        <f t="shared" si="78"/>
        <v>41.35700645162033</v>
      </c>
      <c r="AE87" s="130">
        <f t="shared" si="79"/>
        <v>-12.41793733041512</v>
      </c>
      <c r="AF87" s="130">
        <f t="shared" si="80"/>
        <v>0.436425362810856</v>
      </c>
      <c r="AG87" s="130">
        <f t="shared" si="81"/>
        <v>0.08261508674134956</v>
      </c>
      <c r="AH87" s="130">
        <f t="shared" si="82"/>
        <v>121.33354125752068</v>
      </c>
      <c r="AI87" s="130">
        <f t="shared" si="83"/>
        <v>33.00059897224594</v>
      </c>
      <c r="AJ87" s="130">
        <f t="shared" si="84"/>
        <v>13.175906470369913</v>
      </c>
      <c r="AK87" s="130">
        <f t="shared" si="93"/>
        <v>394.98228386773</v>
      </c>
      <c r="AL87" s="130">
        <f t="shared" si="85"/>
        <v>3792.9338753720467</v>
      </c>
      <c r="AM87" s="130">
        <f t="shared" si="86"/>
        <v>2863.9965271257406</v>
      </c>
      <c r="AN87" s="130">
        <f t="shared" si="87"/>
        <v>2787.369931944729</v>
      </c>
      <c r="AO87" s="130">
        <f t="shared" si="88"/>
        <v>2755.983194555883</v>
      </c>
      <c r="AP87" s="130">
        <f t="shared" si="89"/>
        <v>3630.385477792836</v>
      </c>
      <c r="AQ87" s="130">
        <f t="shared" si="90"/>
        <v>3336.2784461473734</v>
      </c>
      <c r="AR87" s="130">
        <f t="shared" si="94"/>
        <v>299.2153093126085</v>
      </c>
      <c r="AS87" s="130">
        <f t="shared" si="95"/>
        <v>156.86439075433105</v>
      </c>
      <c r="AT87" s="130">
        <f t="shared" si="96"/>
        <v>-35.56492938837399</v>
      </c>
      <c r="AU87" s="130">
        <f t="shared" si="97"/>
        <v>124.72180163176961</v>
      </c>
      <c r="AV87" s="130">
        <f t="shared" si="98"/>
        <v>334.39320064167987</v>
      </c>
      <c r="AW87" s="130">
        <f t="shared" si="99"/>
        <v>73.84023976448515</v>
      </c>
      <c r="AX87" s="130">
        <f t="shared" si="100"/>
        <v>1561.102523271739</v>
      </c>
      <c r="AY87" s="130">
        <f t="shared" si="101"/>
        <v>623.2899243612436</v>
      </c>
      <c r="AZ87" s="130">
        <f t="shared" si="102"/>
        <v>2838.6471510368747</v>
      </c>
      <c r="BA87" s="130">
        <f t="shared" si="103"/>
        <v>1571.024511497157</v>
      </c>
      <c r="BB87" s="130">
        <f t="shared" si="104"/>
        <v>109.05298220527928</v>
      </c>
      <c r="BC87" s="130">
        <f t="shared" si="105"/>
        <v>1461.9715292918777</v>
      </c>
      <c r="BD87" s="129">
        <f t="shared" si="106"/>
        <v>9435.262215168332</v>
      </c>
      <c r="BE87" s="129">
        <f t="shared" si="57"/>
        <v>66.12538324232258</v>
      </c>
      <c r="BF87" s="130">
        <f t="shared" si="107"/>
        <v>6.763002714375634</v>
      </c>
      <c r="BG87" s="137">
        <f t="shared" si="108"/>
        <v>0.731561589077193</v>
      </c>
      <c r="BH87" s="47"/>
      <c r="BI87" s="47"/>
      <c r="BJ87" s="47"/>
    </row>
    <row r="88" spans="1:62" ht="16.5" thickBot="1">
      <c r="A88" s="108">
        <f>IF(Data!A88&gt;0,Data!A88,"")</f>
        <v>68</v>
      </c>
      <c r="B88" s="109">
        <f>IF(A88&gt;0,IF(Data!$F$5="lb",Data!B88/2.204,Data!B88),"")</f>
        <v>70.18307722198985</v>
      </c>
      <c r="C88" s="109">
        <f>IF(A88&gt;0,Data!C88,"")</f>
        <v>0.29258060455322266</v>
      </c>
      <c r="D88" s="110">
        <f>IF(A88&gt;0,Data!D88,"")</f>
        <v>27.44168472290039</v>
      </c>
      <c r="E88" s="143">
        <f t="shared" si="58"/>
        <v>-0.28599932752294766</v>
      </c>
      <c r="F88" s="144">
        <f t="shared" si="59"/>
        <v>19.34656185715611</v>
      </c>
      <c r="G88" s="145">
        <f t="shared" si="60"/>
        <v>-8.241413168020891</v>
      </c>
      <c r="H88" s="111">
        <f>IF(A88&gt;0,IF(Data!$F$4="F",(Data!F88-32)/1.8,Data!F88),"")</f>
        <v>121.96033053927951</v>
      </c>
      <c r="I88" s="123">
        <f>IF(A88&gt;0,IF(Data!$F$4="F",(Data!G88-32)/1.8,Data!G88),"")</f>
        <v>26.120262145996094</v>
      </c>
      <c r="J88" s="136">
        <f t="shared" si="61"/>
        <v>0.9899993417004707</v>
      </c>
      <c r="K88" s="128">
        <f t="shared" si="62"/>
        <v>0.865808886011858</v>
      </c>
      <c r="L88" s="128">
        <f t="shared" si="63"/>
        <v>0.8571502271901574</v>
      </c>
      <c r="M88" s="155">
        <f t="shared" si="64"/>
        <v>4.426596386752648</v>
      </c>
      <c r="N88" s="130">
        <f t="shared" si="65"/>
        <v>70.18307722198985</v>
      </c>
      <c r="O88" s="130">
        <f t="shared" si="66"/>
        <v>40.05444807112633</v>
      </c>
      <c r="P88" s="130">
        <f t="shared" si="56"/>
        <v>62.157920422447425</v>
      </c>
      <c r="Q88" s="130">
        <f t="shared" si="67"/>
        <v>34.31768454376886</v>
      </c>
      <c r="R88" s="129">
        <f t="shared" si="91"/>
        <v>11292.171598919846</v>
      </c>
      <c r="S88" s="130">
        <f t="shared" si="68"/>
        <v>4.166666666666667</v>
      </c>
      <c r="T88" s="130">
        <f t="shared" si="69"/>
        <v>6.6</v>
      </c>
      <c r="U88" s="134">
        <f t="shared" si="92"/>
        <v>2.68125</v>
      </c>
      <c r="V88" s="130">
        <f t="shared" si="70"/>
        <v>19887</v>
      </c>
      <c r="W88" s="130">
        <f t="shared" si="71"/>
        <v>19.17</v>
      </c>
      <c r="X88" s="130">
        <f t="shared" si="72"/>
        <v>80.50714784056728</v>
      </c>
      <c r="Y88" s="130">
        <f t="shared" si="73"/>
        <v>21.35468112481891</v>
      </c>
      <c r="Z88" s="130">
        <f t="shared" si="74"/>
        <v>6.669484260707313</v>
      </c>
      <c r="AA88" s="130">
        <f t="shared" si="75"/>
        <v>21.898793209347076</v>
      </c>
      <c r="AB88" s="130">
        <f t="shared" si="76"/>
        <v>0.055252425493527824</v>
      </c>
      <c r="AC88" s="130">
        <f t="shared" si="77"/>
        <v>0.6636136839403777</v>
      </c>
      <c r="AD88" s="130">
        <f t="shared" si="78"/>
        <v>41.35189702532699</v>
      </c>
      <c r="AE88" s="130">
        <f t="shared" si="79"/>
        <v>-12.418992205051245</v>
      </c>
      <c r="AF88" s="130">
        <f t="shared" si="80"/>
        <v>0.440889950936439</v>
      </c>
      <c r="AG88" s="130">
        <f t="shared" si="81"/>
        <v>0.08325992490910114</v>
      </c>
      <c r="AH88" s="130">
        <f t="shared" si="82"/>
        <v>121.31628655174092</v>
      </c>
      <c r="AI88" s="130">
        <f t="shared" si="83"/>
        <v>32.999309295910436</v>
      </c>
      <c r="AJ88" s="130">
        <f t="shared" si="84"/>
        <v>13.175906470369913</v>
      </c>
      <c r="AK88" s="130">
        <f t="shared" si="93"/>
        <v>395.1103305392795</v>
      </c>
      <c r="AL88" s="130">
        <f t="shared" si="85"/>
        <v>3796.083130999513</v>
      </c>
      <c r="AM88" s="130">
        <f t="shared" si="86"/>
        <v>2866.2613874315816</v>
      </c>
      <c r="AN88" s="130">
        <f t="shared" si="87"/>
        <v>2789.546491481356</v>
      </c>
      <c r="AO88" s="130">
        <f t="shared" si="88"/>
        <v>2758.141059870734</v>
      </c>
      <c r="AP88" s="130">
        <f t="shared" si="89"/>
        <v>3633.647441122253</v>
      </c>
      <c r="AQ88" s="130">
        <f t="shared" si="90"/>
        <v>3338.8748352925886</v>
      </c>
      <c r="AR88" s="130">
        <f t="shared" si="94"/>
        <v>299.27026214599607</v>
      </c>
      <c r="AS88" s="130">
        <f t="shared" si="95"/>
        <v>156.97523873267272</v>
      </c>
      <c r="AT88" s="130">
        <f t="shared" si="96"/>
        <v>-35.59607782815218</v>
      </c>
      <c r="AU88" s="130">
        <f t="shared" si="97"/>
        <v>125.99865290111981</v>
      </c>
      <c r="AV88" s="130">
        <f t="shared" si="98"/>
        <v>334.60743116940034</v>
      </c>
      <c r="AW88" s="130">
        <f t="shared" si="99"/>
        <v>74.41685893047982</v>
      </c>
      <c r="AX88" s="130">
        <f t="shared" si="100"/>
        <v>1561.1271938220384</v>
      </c>
      <c r="AY88" s="130">
        <f t="shared" si="101"/>
        <v>623.3241341417817</v>
      </c>
      <c r="AZ88" s="130">
        <f t="shared" si="102"/>
        <v>2840.8534318693405</v>
      </c>
      <c r="BA88" s="130">
        <f t="shared" si="103"/>
        <v>1613.0841474354575</v>
      </c>
      <c r="BB88" s="130">
        <f t="shared" si="104"/>
        <v>112.92893494166218</v>
      </c>
      <c r="BC88" s="130">
        <f t="shared" si="105"/>
        <v>1500.1552124937953</v>
      </c>
      <c r="BD88" s="129">
        <f t="shared" si="106"/>
        <v>9679.087451484389</v>
      </c>
      <c r="BE88" s="129">
        <f t="shared" si="57"/>
        <v>153.39822189233965</v>
      </c>
      <c r="BF88" s="130">
        <f t="shared" si="107"/>
        <v>7.0096515061085825</v>
      </c>
      <c r="BG88" s="137">
        <f t="shared" si="108"/>
        <v>0.7564220722174292</v>
      </c>
      <c r="BH88" s="47"/>
      <c r="BI88" s="47"/>
      <c r="BJ88" s="47"/>
    </row>
    <row r="89" spans="1:62" ht="16.5" thickBot="1">
      <c r="A89" s="108">
        <f>IF(Data!A89&gt;0,Data!A89,"")</f>
        <v>69</v>
      </c>
      <c r="B89" s="109">
        <f>IF(A89&gt;0,IF(Data!$F$5="lb",Data!B89/2.204,Data!B89),"")</f>
        <v>69.72653203780767</v>
      </c>
      <c r="C89" s="109">
        <f>IF(A89&gt;0,Data!C89,"")</f>
        <v>0.31635475158691406</v>
      </c>
      <c r="D89" s="110">
        <f>IF(A89&gt;0,Data!D89,"")</f>
        <v>27.44159507751465</v>
      </c>
      <c r="E89" s="143">
        <f t="shared" si="58"/>
        <v>-0.2866085493930077</v>
      </c>
      <c r="F89" s="144">
        <f t="shared" si="59"/>
        <v>19.345201093210335</v>
      </c>
      <c r="G89" s="145">
        <f t="shared" si="60"/>
        <v>-8.25457136009777</v>
      </c>
      <c r="H89" s="111">
        <f>IF(A89&gt;0,IF(Data!$F$4="F",(Data!F89-32)/1.8,Data!F89),"")</f>
        <v>122.14653862847221</v>
      </c>
      <c r="I89" s="123">
        <f>IF(A89&gt;0,IF(Data!$F$4="F",(Data!G89-32)/1.8,Data!G89),"")</f>
        <v>26.286943223741318</v>
      </c>
      <c r="J89" s="136">
        <f t="shared" si="61"/>
        <v>0.9892676060378915</v>
      </c>
      <c r="K89" s="128">
        <f t="shared" si="62"/>
        <v>0.8657478252308703</v>
      </c>
      <c r="L89" s="128">
        <f t="shared" si="63"/>
        <v>0.8564562784986541</v>
      </c>
      <c r="M89" s="155">
        <f t="shared" si="64"/>
        <v>4.421700801464086</v>
      </c>
      <c r="N89" s="130">
        <f t="shared" si="65"/>
        <v>69.72653203780767</v>
      </c>
      <c r="O89" s="130">
        <f t="shared" si="66"/>
        <v>40.44439753087579</v>
      </c>
      <c r="P89" s="130">
        <f t="shared" si="56"/>
        <v>61.793585391426845</v>
      </c>
      <c r="Q89" s="130">
        <f t="shared" si="67"/>
        <v>34.70267761104991</v>
      </c>
      <c r="R89" s="129">
        <f t="shared" si="91"/>
        <v>10549.330158832294</v>
      </c>
      <c r="S89" s="130">
        <f t="shared" si="68"/>
        <v>4.166666666666667</v>
      </c>
      <c r="T89" s="130">
        <f t="shared" si="69"/>
        <v>6.6</v>
      </c>
      <c r="U89" s="134">
        <f t="shared" si="92"/>
        <v>2.68125</v>
      </c>
      <c r="V89" s="130">
        <f t="shared" si="70"/>
        <v>19887</v>
      </c>
      <c r="W89" s="130">
        <f t="shared" si="71"/>
        <v>19.17</v>
      </c>
      <c r="X89" s="130">
        <f t="shared" si="72"/>
        <v>80.49662153099621</v>
      </c>
      <c r="Y89" s="130">
        <f t="shared" si="73"/>
        <v>21.351889000264247</v>
      </c>
      <c r="Z89" s="130">
        <f t="shared" si="74"/>
        <v>6.675995529345326</v>
      </c>
      <c r="AA89" s="130">
        <f t="shared" si="75"/>
        <v>21.913388827164976</v>
      </c>
      <c r="AB89" s="130">
        <f t="shared" si="76"/>
        <v>0.05869820983729923</v>
      </c>
      <c r="AC89" s="130">
        <f t="shared" si="77"/>
        <v>0.66426155516986</v>
      </c>
      <c r="AD89" s="130">
        <f t="shared" si="78"/>
        <v>41.31143051097921</v>
      </c>
      <c r="AE89" s="130">
        <f t="shared" si="79"/>
        <v>-12.426688396842376</v>
      </c>
      <c r="AF89" s="130">
        <f t="shared" si="80"/>
        <v>0.47625027991574526</v>
      </c>
      <c r="AG89" s="130">
        <f t="shared" si="81"/>
        <v>0.08836611027758391</v>
      </c>
      <c r="AH89" s="130">
        <f t="shared" si="82"/>
        <v>121.182117050884</v>
      </c>
      <c r="AI89" s="130">
        <f t="shared" si="83"/>
        <v>32.98909692517347</v>
      </c>
      <c r="AJ89" s="130">
        <f t="shared" si="84"/>
        <v>13.175906470369913</v>
      </c>
      <c r="AK89" s="130">
        <f t="shared" si="93"/>
        <v>395.2965386284722</v>
      </c>
      <c r="AL89" s="130">
        <f t="shared" si="85"/>
        <v>3797.3470702806117</v>
      </c>
      <c r="AM89" s="130">
        <f t="shared" si="86"/>
        <v>2866.997601309632</v>
      </c>
      <c r="AN89" s="130">
        <f t="shared" si="87"/>
        <v>2790.209567739825</v>
      </c>
      <c r="AO89" s="130">
        <f t="shared" si="88"/>
        <v>2758.807885748232</v>
      </c>
      <c r="AP89" s="130">
        <f t="shared" si="89"/>
        <v>3635.3349602860326</v>
      </c>
      <c r="AQ89" s="130">
        <f t="shared" si="90"/>
        <v>3339.651526284801</v>
      </c>
      <c r="AR89" s="130">
        <f t="shared" si="94"/>
        <v>299.4369432237413</v>
      </c>
      <c r="AS89" s="130">
        <f t="shared" si="95"/>
        <v>156.87383961996795</v>
      </c>
      <c r="AT89" s="130">
        <f t="shared" si="96"/>
        <v>-35.62728582596933</v>
      </c>
      <c r="AU89" s="130">
        <f t="shared" si="97"/>
        <v>136.10433355185617</v>
      </c>
      <c r="AV89" s="130">
        <f t="shared" si="98"/>
        <v>334.31818013164406</v>
      </c>
      <c r="AW89" s="130">
        <f t="shared" si="99"/>
        <v>78.98086367024958</v>
      </c>
      <c r="AX89" s="130">
        <f t="shared" si="100"/>
        <v>1560.6696905998651</v>
      </c>
      <c r="AY89" s="130">
        <f t="shared" si="101"/>
        <v>623.3343677496515</v>
      </c>
      <c r="AZ89" s="130">
        <f t="shared" si="102"/>
        <v>2854.653989497265</v>
      </c>
      <c r="BA89" s="130">
        <f t="shared" si="103"/>
        <v>1514.2901103451713</v>
      </c>
      <c r="BB89" s="130">
        <f t="shared" si="104"/>
        <v>113.21935532758839</v>
      </c>
      <c r="BC89" s="130">
        <f t="shared" si="105"/>
        <v>1401.070755017583</v>
      </c>
      <c r="BD89" s="129">
        <f t="shared" si="106"/>
        <v>9035.040048487122</v>
      </c>
      <c r="BE89" s="129">
        <f t="shared" si="57"/>
        <v>77.76189060135356</v>
      </c>
      <c r="BF89" s="130">
        <f t="shared" si="107"/>
        <v>7.073736629450888</v>
      </c>
      <c r="BG89" s="137">
        <f t="shared" si="108"/>
        <v>0.7500001184050012</v>
      </c>
      <c r="BH89" s="47"/>
      <c r="BI89" s="47"/>
      <c r="BJ89" s="47"/>
    </row>
    <row r="90" spans="1:62" ht="16.5" thickBot="1">
      <c r="A90" s="108">
        <f>IF(Data!A90&gt;0,Data!A90,"")</f>
        <v>70</v>
      </c>
      <c r="B90" s="109">
        <f>IF(A90&gt;0,IF(Data!$F$5="lb",Data!B90/2.204,Data!B90),"")</f>
        <v>68.85614412449665</v>
      </c>
      <c r="C90" s="109">
        <f>IF(A90&gt;0,Data!C90,"")</f>
        <v>0.36409813165664673</v>
      </c>
      <c r="D90" s="110">
        <f>IF(A90&gt;0,Data!D90,"")</f>
        <v>27.441837310791016</v>
      </c>
      <c r="E90" s="143">
        <f t="shared" si="58"/>
        <v>-0.2878396723805474</v>
      </c>
      <c r="F90" s="144">
        <f t="shared" si="59"/>
        <v>19.34244413874586</v>
      </c>
      <c r="G90" s="145">
        <f t="shared" si="60"/>
        <v>-8.281442237873478</v>
      </c>
      <c r="H90" s="111">
        <f>IF(A90&gt;0,IF(Data!$F$4="F",(Data!F90-32)/1.8,Data!F90),"")</f>
        <v>122.44778103298611</v>
      </c>
      <c r="I90" s="123">
        <f>IF(A90&gt;0,IF(Data!$F$4="F",(Data!G90-32)/1.8,Data!G90),"")</f>
        <v>26.356701321072048</v>
      </c>
      <c r="J90" s="136">
        <f t="shared" si="61"/>
        <v>0.9878025705775694</v>
      </c>
      <c r="K90" s="128">
        <f t="shared" si="62"/>
        <v>0.8655650182189949</v>
      </c>
      <c r="L90" s="128">
        <f t="shared" si="63"/>
        <v>0.8550073499987438</v>
      </c>
      <c r="M90" s="155">
        <f t="shared" si="64"/>
        <v>4.411832623721304</v>
      </c>
      <c r="N90" s="130">
        <f t="shared" si="65"/>
        <v>68.85614412449665</v>
      </c>
      <c r="O90" s="130">
        <f t="shared" si="66"/>
        <v>41.18782295365423</v>
      </c>
      <c r="P90" s="130">
        <f t="shared" si="56"/>
        <v>61.09699316757415</v>
      </c>
      <c r="Q90" s="130">
        <f t="shared" si="67"/>
        <v>35.43876707286735</v>
      </c>
      <c r="R90" s="129">
        <f t="shared" si="91"/>
        <v>13851.397131910098</v>
      </c>
      <c r="S90" s="130">
        <f t="shared" si="68"/>
        <v>4.166666666666667</v>
      </c>
      <c r="T90" s="130">
        <f t="shared" si="69"/>
        <v>6.6</v>
      </c>
      <c r="U90" s="134">
        <f t="shared" si="92"/>
        <v>2.68125</v>
      </c>
      <c r="V90" s="130">
        <f t="shared" si="70"/>
        <v>19887</v>
      </c>
      <c r="W90" s="130">
        <f t="shared" si="71"/>
        <v>19.17</v>
      </c>
      <c r="X90" s="130">
        <f t="shared" si="72"/>
        <v>80.47550679542582</v>
      </c>
      <c r="Y90" s="130">
        <f t="shared" si="73"/>
        <v>21.346288274648757</v>
      </c>
      <c r="Z90" s="130">
        <f t="shared" si="74"/>
        <v>6.689173009528214</v>
      </c>
      <c r="AA90" s="130">
        <f t="shared" si="75"/>
        <v>21.943033403603312</v>
      </c>
      <c r="AB90" s="130">
        <f t="shared" si="76"/>
        <v>0.06561876391989685</v>
      </c>
      <c r="AC90" s="130">
        <f t="shared" si="77"/>
        <v>0.6655727144480573</v>
      </c>
      <c r="AD90" s="130">
        <f t="shared" si="78"/>
        <v>41.230412117401535</v>
      </c>
      <c r="AE90" s="130">
        <f t="shared" si="79"/>
        <v>-12.44258074001887</v>
      </c>
      <c r="AF90" s="130">
        <f t="shared" si="80"/>
        <v>0.5470448588905633</v>
      </c>
      <c r="AG90" s="130">
        <f t="shared" si="81"/>
        <v>0.09858992488042849</v>
      </c>
      <c r="AH90" s="130">
        <f t="shared" si="82"/>
        <v>120.91166757363563</v>
      </c>
      <c r="AI90" s="130">
        <f t="shared" si="83"/>
        <v>32.968649295967786</v>
      </c>
      <c r="AJ90" s="130">
        <f t="shared" si="84"/>
        <v>13.175906470369913</v>
      </c>
      <c r="AK90" s="130">
        <f t="shared" si="93"/>
        <v>395.59778103298606</v>
      </c>
      <c r="AL90" s="130">
        <f t="shared" si="85"/>
        <v>3807.0339279088334</v>
      </c>
      <c r="AM90" s="130">
        <f t="shared" si="86"/>
        <v>2874.081327843449</v>
      </c>
      <c r="AN90" s="130">
        <f t="shared" si="87"/>
        <v>2797.047259756589</v>
      </c>
      <c r="AO90" s="130">
        <f t="shared" si="88"/>
        <v>2765.580443097601</v>
      </c>
      <c r="AP90" s="130">
        <f t="shared" si="89"/>
        <v>3645.1118595745565</v>
      </c>
      <c r="AQ90" s="130">
        <f t="shared" si="90"/>
        <v>3347.8178078864635</v>
      </c>
      <c r="AR90" s="130">
        <f t="shared" si="94"/>
        <v>299.506701321072</v>
      </c>
      <c r="AS90" s="130">
        <f t="shared" si="95"/>
        <v>156.96557779261113</v>
      </c>
      <c r="AT90" s="130">
        <f t="shared" si="96"/>
        <v>-35.760988975072756</v>
      </c>
      <c r="AU90" s="130">
        <f t="shared" si="97"/>
        <v>156.33997607554096</v>
      </c>
      <c r="AV90" s="130">
        <f t="shared" si="98"/>
        <v>334.390943183965</v>
      </c>
      <c r="AW90" s="130">
        <f t="shared" si="99"/>
        <v>88.11978447627892</v>
      </c>
      <c r="AX90" s="130">
        <f t="shared" si="100"/>
        <v>1559.9715721094121</v>
      </c>
      <c r="AY90" s="130">
        <f t="shared" si="101"/>
        <v>623.4419659122457</v>
      </c>
      <c r="AZ90" s="130">
        <f t="shared" si="102"/>
        <v>2883.4688305749814</v>
      </c>
      <c r="BA90" s="130">
        <f t="shared" si="103"/>
        <v>2008.3507763754444</v>
      </c>
      <c r="BB90" s="130">
        <f t="shared" si="104"/>
        <v>168.95113057947628</v>
      </c>
      <c r="BC90" s="130">
        <f t="shared" si="105"/>
        <v>1839.3996457959681</v>
      </c>
      <c r="BD90" s="129">
        <f t="shared" si="106"/>
        <v>11843.046355534654</v>
      </c>
      <c r="BE90" s="129">
        <f t="shared" si="57"/>
        <v>168.9725700361545</v>
      </c>
      <c r="BF90" s="130">
        <f t="shared" si="107"/>
        <v>10.668547116456054</v>
      </c>
      <c r="BG90" s="137">
        <f t="shared" si="108"/>
        <v>1.0986941843206108</v>
      </c>
      <c r="BH90" s="47"/>
      <c r="BI90" s="47"/>
      <c r="BJ90" s="47"/>
    </row>
    <row r="91" spans="1:62" ht="16.5" thickBot="1">
      <c r="A91" s="108">
        <f>IF(Data!A91&gt;0,Data!A91,"")</f>
        <v>71</v>
      </c>
      <c r="B91" s="109">
        <f>IF(A91&gt;0,IF(Data!$F$5="lb",Data!B91/2.204,Data!B91),"")</f>
        <v>67.98919705427276</v>
      </c>
      <c r="C91" s="109">
        <f>IF(A91&gt;0,Data!C91,"")</f>
        <v>0.3778993487358093</v>
      </c>
      <c r="D91" s="110">
        <f>IF(A91&gt;0,Data!D91,"")</f>
        <v>27.44156265258789</v>
      </c>
      <c r="E91" s="143">
        <f t="shared" si="58"/>
        <v>-0.28818594358450755</v>
      </c>
      <c r="F91" s="144">
        <f t="shared" si="59"/>
        <v>19.34166698692302</v>
      </c>
      <c r="G91" s="145">
        <f t="shared" si="60"/>
        <v>-8.288845340032776</v>
      </c>
      <c r="H91" s="111">
        <f>IF(A91&gt;0,IF(Data!$F$4="F",(Data!F91-32)/1.8,Data!F91),"")</f>
        <v>122.52437167697482</v>
      </c>
      <c r="I91" s="123">
        <f>IF(A91&gt;0,IF(Data!$F$4="F",(Data!G91-32)/1.8,Data!G91),"")</f>
        <v>26.23971727159288</v>
      </c>
      <c r="J91" s="136">
        <f t="shared" si="61"/>
        <v>0.9873800291500556</v>
      </c>
      <c r="K91" s="128">
        <f t="shared" si="62"/>
        <v>0.865471613670334</v>
      </c>
      <c r="L91" s="128">
        <f t="shared" si="63"/>
        <v>0.85454938713436</v>
      </c>
      <c r="M91" s="155">
        <f t="shared" si="64"/>
        <v>4.409040762650574</v>
      </c>
      <c r="N91" s="130">
        <f t="shared" si="65"/>
        <v>67.98919705427276</v>
      </c>
      <c r="O91" s="130">
        <f t="shared" si="66"/>
        <v>41.92830944519564</v>
      </c>
      <c r="P91" s="130">
        <f t="shared" si="56"/>
        <v>60.40057517048754</v>
      </c>
      <c r="Q91" s="130">
        <f t="shared" si="67"/>
        <v>36.17467242914629</v>
      </c>
      <c r="R91" s="129">
        <f t="shared" si="91"/>
        <v>11371.354388487349</v>
      </c>
      <c r="S91" s="130">
        <f t="shared" si="68"/>
        <v>4.166666666666667</v>
      </c>
      <c r="T91" s="130">
        <f t="shared" si="69"/>
        <v>6.6</v>
      </c>
      <c r="U91" s="134">
        <f t="shared" si="92"/>
        <v>2.68125</v>
      </c>
      <c r="V91" s="130">
        <f t="shared" si="70"/>
        <v>19887</v>
      </c>
      <c r="W91" s="130">
        <f t="shared" si="71"/>
        <v>19.17</v>
      </c>
      <c r="X91" s="130">
        <f t="shared" si="72"/>
        <v>80.46938333870908</v>
      </c>
      <c r="Y91" s="130">
        <f t="shared" si="73"/>
        <v>21.3446640155727</v>
      </c>
      <c r="Z91" s="130">
        <f t="shared" si="74"/>
        <v>6.692899371797746</v>
      </c>
      <c r="AA91" s="130">
        <f t="shared" si="75"/>
        <v>21.95133049793207</v>
      </c>
      <c r="AB91" s="130">
        <f t="shared" si="76"/>
        <v>0.06761871450024515</v>
      </c>
      <c r="AC91" s="130">
        <f t="shared" si="77"/>
        <v>0.6659434874938757</v>
      </c>
      <c r="AD91" s="130">
        <f t="shared" si="78"/>
        <v>41.20704409297231</v>
      </c>
      <c r="AE91" s="130">
        <f t="shared" si="79"/>
        <v>-12.446769877164694</v>
      </c>
      <c r="AF91" s="130">
        <f t="shared" si="80"/>
        <v>0.5674645909639362</v>
      </c>
      <c r="AG91" s="130">
        <f t="shared" si="81"/>
        <v>0.10153821723628914</v>
      </c>
      <c r="AH91" s="130">
        <f t="shared" si="82"/>
        <v>120.83515320727439</v>
      </c>
      <c r="AI91" s="130">
        <f t="shared" si="83"/>
        <v>32.962752711256066</v>
      </c>
      <c r="AJ91" s="130">
        <f t="shared" si="84"/>
        <v>13.175906470369913</v>
      </c>
      <c r="AK91" s="130">
        <f t="shared" si="93"/>
        <v>395.67437167697483</v>
      </c>
      <c r="AL91" s="130">
        <f t="shared" si="85"/>
        <v>3814.6467722480484</v>
      </c>
      <c r="AM91" s="130">
        <f t="shared" si="86"/>
        <v>2879.8536394579596</v>
      </c>
      <c r="AN91" s="130">
        <f t="shared" si="87"/>
        <v>2802.670998622197</v>
      </c>
      <c r="AO91" s="130">
        <f t="shared" si="88"/>
        <v>2771.139625539114</v>
      </c>
      <c r="AP91" s="130">
        <f t="shared" si="89"/>
        <v>3652.3460081539365</v>
      </c>
      <c r="AQ91" s="130">
        <f t="shared" si="90"/>
        <v>3354.5508750493586</v>
      </c>
      <c r="AR91" s="130">
        <f t="shared" si="94"/>
        <v>299.3897172715929</v>
      </c>
      <c r="AS91" s="130">
        <f t="shared" si="95"/>
        <v>157.19031774313981</v>
      </c>
      <c r="AT91" s="130">
        <f t="shared" si="96"/>
        <v>-35.844875530248444</v>
      </c>
      <c r="AU91" s="130">
        <f t="shared" si="97"/>
        <v>162.17892354249685</v>
      </c>
      <c r="AV91" s="130">
        <f t="shared" si="98"/>
        <v>334.85108121076786</v>
      </c>
      <c r="AW91" s="130">
        <f t="shared" si="99"/>
        <v>90.75570600458423</v>
      </c>
      <c r="AX91" s="130">
        <f t="shared" si="100"/>
        <v>1559.9145049127976</v>
      </c>
      <c r="AY91" s="130">
        <f t="shared" si="101"/>
        <v>623.5306801754427</v>
      </c>
      <c r="AZ91" s="130">
        <f t="shared" si="102"/>
        <v>2892.5763380589806</v>
      </c>
      <c r="BA91" s="130">
        <f t="shared" si="103"/>
        <v>1653.9704649178686</v>
      </c>
      <c r="BB91" s="130">
        <f t="shared" si="104"/>
        <v>143.50590066959032</v>
      </c>
      <c r="BC91" s="130">
        <f t="shared" si="105"/>
        <v>1510.4645642482783</v>
      </c>
      <c r="BD91" s="129">
        <f t="shared" si="106"/>
        <v>9717.38392356948</v>
      </c>
      <c r="BE91" s="129">
        <f t="shared" si="57"/>
        <v>174.78236489723704</v>
      </c>
      <c r="BF91" s="130">
        <f t="shared" si="107"/>
        <v>9.085309351311418</v>
      </c>
      <c r="BG91" s="137">
        <f t="shared" si="108"/>
        <v>0.928950210424143</v>
      </c>
      <c r="BH91" s="47"/>
      <c r="BI91" s="47"/>
      <c r="BJ91" s="47"/>
    </row>
    <row r="92" spans="1:62" ht="16.5" thickBot="1">
      <c r="A92" s="108">
        <f>IF(Data!A92&gt;0,Data!A92,"")</f>
        <v>72</v>
      </c>
      <c r="B92" s="109">
        <f>IF(A92&gt;0,IF(Data!$F$5="lb",Data!B92/2.204,Data!B92),"")</f>
        <v>67.43418283341367</v>
      </c>
      <c r="C92" s="109">
        <f>IF(A92&gt;0,Data!C92,"")</f>
        <v>0.39591893553733826</v>
      </c>
      <c r="D92" s="110">
        <f>IF(A92&gt;0,Data!D92,"")</f>
        <v>27.44168472290039</v>
      </c>
      <c r="E92" s="143">
        <f t="shared" si="58"/>
        <v>-0.2886498300130551</v>
      </c>
      <c r="F92" s="144">
        <f t="shared" si="59"/>
        <v>19.340624680300557</v>
      </c>
      <c r="G92" s="145">
        <f t="shared" si="60"/>
        <v>-8.299019510368502</v>
      </c>
      <c r="H92" s="111">
        <f>IF(A92&gt;0,IF(Data!$F$4="F",(Data!F92-32)/1.8,Data!F92),"")</f>
        <v>122.66688028971353</v>
      </c>
      <c r="I92" s="123">
        <f>IF(A92&gt;0,IF(Data!$F$4="F",(Data!G92-32)/1.8,Data!G92),"")</f>
        <v>26.563826666937935</v>
      </c>
      <c r="J92" s="136">
        <f t="shared" si="61"/>
        <v>0.9868292177349209</v>
      </c>
      <c r="K92" s="128">
        <f t="shared" si="62"/>
        <v>0.8654881960423729</v>
      </c>
      <c r="L92" s="128">
        <f t="shared" si="63"/>
        <v>0.8540890394593027</v>
      </c>
      <c r="M92" s="155">
        <f t="shared" si="64"/>
        <v>4.405325746417541</v>
      </c>
      <c r="N92" s="130">
        <f t="shared" si="65"/>
        <v>67.43418283341367</v>
      </c>
      <c r="O92" s="130">
        <f t="shared" si="66"/>
        <v>42.40236437573875</v>
      </c>
      <c r="P92" s="130">
        <f t="shared" si="56"/>
        <v>59.953396407028315</v>
      </c>
      <c r="Q92" s="130">
        <f t="shared" si="67"/>
        <v>36.64720652306764</v>
      </c>
      <c r="R92" s="129">
        <f t="shared" si="91"/>
        <v>11465.290322384228</v>
      </c>
      <c r="S92" s="130">
        <f t="shared" si="68"/>
        <v>4.166666666666667</v>
      </c>
      <c r="T92" s="130">
        <f t="shared" si="69"/>
        <v>6.6</v>
      </c>
      <c r="U92" s="134">
        <f t="shared" si="92"/>
        <v>2.68125</v>
      </c>
      <c r="V92" s="130">
        <f t="shared" si="70"/>
        <v>19887</v>
      </c>
      <c r="W92" s="130">
        <f t="shared" si="71"/>
        <v>19.17</v>
      </c>
      <c r="X92" s="130">
        <f t="shared" si="72"/>
        <v>80.46141585193078</v>
      </c>
      <c r="Y92" s="130">
        <f t="shared" si="73"/>
        <v>21.34255062385432</v>
      </c>
      <c r="Z92" s="130">
        <f t="shared" si="74"/>
        <v>6.697880260947504</v>
      </c>
      <c r="AA92" s="130">
        <f t="shared" si="75"/>
        <v>21.962543336773017</v>
      </c>
      <c r="AB92" s="130">
        <f t="shared" si="76"/>
        <v>0.07023076217687318</v>
      </c>
      <c r="AC92" s="130">
        <f t="shared" si="77"/>
        <v>0.6664390859642766</v>
      </c>
      <c r="AD92" s="130">
        <f t="shared" si="78"/>
        <v>41.17658357806967</v>
      </c>
      <c r="AE92" s="130">
        <f t="shared" si="79"/>
        <v>-12.452780284278461</v>
      </c>
      <c r="AF92" s="130">
        <f t="shared" si="80"/>
        <v>0.5940812054330211</v>
      </c>
      <c r="AG92" s="130">
        <f t="shared" si="81"/>
        <v>0.10538211766984776</v>
      </c>
      <c r="AH92" s="130">
        <f t="shared" si="82"/>
        <v>120.73333864491224</v>
      </c>
      <c r="AI92" s="130">
        <f t="shared" si="83"/>
        <v>32.95506491038895</v>
      </c>
      <c r="AJ92" s="130">
        <f t="shared" si="84"/>
        <v>13.175906470369913</v>
      </c>
      <c r="AK92" s="130">
        <f t="shared" si="93"/>
        <v>395.8168802897135</v>
      </c>
      <c r="AL92" s="130">
        <f t="shared" si="85"/>
        <v>3808.1022640074502</v>
      </c>
      <c r="AM92" s="130">
        <f t="shared" si="86"/>
        <v>2874.6237938464146</v>
      </c>
      <c r="AN92" s="130">
        <f t="shared" si="87"/>
        <v>2797.510492017268</v>
      </c>
      <c r="AO92" s="130">
        <f t="shared" si="88"/>
        <v>2766.052042723543</v>
      </c>
      <c r="AP92" s="130">
        <f t="shared" si="89"/>
        <v>3646.7129986206655</v>
      </c>
      <c r="AQ92" s="130">
        <f t="shared" si="90"/>
        <v>3348.351719747568</v>
      </c>
      <c r="AR92" s="130">
        <f t="shared" si="94"/>
        <v>299.7138266669379</v>
      </c>
      <c r="AS92" s="130">
        <f t="shared" si="95"/>
        <v>156.80464114773912</v>
      </c>
      <c r="AT92" s="130">
        <f t="shared" si="96"/>
        <v>-35.79705850472838</v>
      </c>
      <c r="AU92" s="130">
        <f t="shared" si="97"/>
        <v>169.7827709744161</v>
      </c>
      <c r="AV92" s="130">
        <f t="shared" si="98"/>
        <v>333.9546979835928</v>
      </c>
      <c r="AW92" s="130">
        <f t="shared" si="99"/>
        <v>94.19082267484981</v>
      </c>
      <c r="AX92" s="130">
        <f t="shared" si="100"/>
        <v>1559.3463973119854</v>
      </c>
      <c r="AY92" s="130">
        <f t="shared" si="101"/>
        <v>623.449000684991</v>
      </c>
      <c r="AZ92" s="130">
        <f t="shared" si="102"/>
        <v>2901.7312722728457</v>
      </c>
      <c r="BA92" s="130">
        <f t="shared" si="103"/>
        <v>1672.911523817043</v>
      </c>
      <c r="BB92" s="130">
        <f t="shared" si="104"/>
        <v>151.00657071367013</v>
      </c>
      <c r="BC92" s="130">
        <f t="shared" si="105"/>
        <v>1521.904953103373</v>
      </c>
      <c r="BD92" s="129">
        <f t="shared" si="106"/>
        <v>9792.378798567184</v>
      </c>
      <c r="BE92" s="129">
        <f t="shared" si="57"/>
        <v>117.1283471054148</v>
      </c>
      <c r="BF92" s="130">
        <f t="shared" si="107"/>
        <v>9.590022520748432</v>
      </c>
      <c r="BG92" s="137">
        <f t="shared" si="108"/>
        <v>0.9720815196841848</v>
      </c>
      <c r="BH92" s="47"/>
      <c r="BI92" s="47"/>
      <c r="BJ92" s="47"/>
    </row>
    <row r="93" spans="1:62" ht="16.5" thickBot="1">
      <c r="A93" s="108">
        <f>IF(Data!A93&gt;0,Data!A93,"")</f>
        <v>73</v>
      </c>
      <c r="B93" s="109">
        <f>IF(A93&gt;0,IF(Data!$F$5="lb",Data!B93/2.204,Data!B93),"")</f>
        <v>66.56069331506635</v>
      </c>
      <c r="C93" s="109">
        <f>IF(A93&gt;0,Data!C93,"")</f>
        <v>0.4255695641040802</v>
      </c>
      <c r="D93" s="110">
        <f>IF(A93&gt;0,Data!D93,"")</f>
        <v>27.441471099853516</v>
      </c>
      <c r="E93" s="143">
        <f t="shared" si="58"/>
        <v>-0.2894012560124275</v>
      </c>
      <c r="F93" s="144">
        <f t="shared" si="59"/>
        <v>19.338933413311775</v>
      </c>
      <c r="G93" s="145">
        <f t="shared" si="60"/>
        <v>-8.31532246859378</v>
      </c>
      <c r="H93" s="111">
        <f>IF(A93&gt;0,IF(Data!$F$4="F",(Data!F93-32)/1.8,Data!F93),"")</f>
        <v>122.60081821017795</v>
      </c>
      <c r="I93" s="123">
        <f>IF(A93&gt;0,IF(Data!$F$4="F",(Data!G93-32)/1.8,Data!G93),"")</f>
        <v>26.09517839219835</v>
      </c>
      <c r="J93" s="136">
        <f t="shared" si="61"/>
        <v>0.9859244944145815</v>
      </c>
      <c r="K93" s="128">
        <f t="shared" si="62"/>
        <v>0.8652945014614999</v>
      </c>
      <c r="L93" s="128">
        <f t="shared" si="63"/>
        <v>0.8531150438731467</v>
      </c>
      <c r="M93" s="155">
        <f t="shared" si="64"/>
        <v>4.399288888173767</v>
      </c>
      <c r="N93" s="130">
        <f t="shared" si="65"/>
        <v>66.56069331506635</v>
      </c>
      <c r="O93" s="130">
        <f t="shared" si="66"/>
        <v>43.1484389759703</v>
      </c>
      <c r="P93" s="130">
        <f t="shared" si="56"/>
        <v>59.24753144117852</v>
      </c>
      <c r="Q93" s="130">
        <f t="shared" si="67"/>
        <v>37.39309449746172</v>
      </c>
      <c r="R93" s="129">
        <f t="shared" si="91"/>
        <v>14004.197884306353</v>
      </c>
      <c r="S93" s="130">
        <f t="shared" si="68"/>
        <v>4.166666666666667</v>
      </c>
      <c r="T93" s="130">
        <f t="shared" si="69"/>
        <v>6.6</v>
      </c>
      <c r="U93" s="134">
        <f t="shared" si="92"/>
        <v>2.68125</v>
      </c>
      <c r="V93" s="130">
        <f t="shared" si="70"/>
        <v>19887</v>
      </c>
      <c r="W93" s="130">
        <f t="shared" si="71"/>
        <v>19.17</v>
      </c>
      <c r="X93" s="130">
        <f t="shared" si="72"/>
        <v>80.44828180463618</v>
      </c>
      <c r="Y93" s="130">
        <f t="shared" si="73"/>
        <v>21.339066791680686</v>
      </c>
      <c r="Z93" s="130">
        <f t="shared" si="74"/>
        <v>6.70597650396034</v>
      </c>
      <c r="AA93" s="130">
        <f t="shared" si="75"/>
        <v>21.980666257981476</v>
      </c>
      <c r="AB93" s="130">
        <f t="shared" si="76"/>
        <v>0.07452810254382314</v>
      </c>
      <c r="AC93" s="130">
        <f t="shared" si="77"/>
        <v>0.6672446621440539</v>
      </c>
      <c r="AD93" s="130">
        <f t="shared" si="78"/>
        <v>41.12655020974761</v>
      </c>
      <c r="AE93" s="130">
        <f t="shared" si="79"/>
        <v>-12.462179078172312</v>
      </c>
      <c r="AF93" s="130">
        <f t="shared" si="80"/>
        <v>0.6378013766893237</v>
      </c>
      <c r="AG93" s="130">
        <f t="shared" si="81"/>
        <v>0.11169531473559094</v>
      </c>
      <c r="AH93" s="130">
        <f t="shared" si="82"/>
        <v>120.56789116323857</v>
      </c>
      <c r="AI93" s="130">
        <f t="shared" si="83"/>
        <v>32.94243851625746</v>
      </c>
      <c r="AJ93" s="130">
        <f t="shared" si="84"/>
        <v>13.175906470369913</v>
      </c>
      <c r="AK93" s="130">
        <f t="shared" si="93"/>
        <v>395.75081821017795</v>
      </c>
      <c r="AL93" s="130">
        <f t="shared" si="85"/>
        <v>3823.3065834072954</v>
      </c>
      <c r="AM93" s="130">
        <f t="shared" si="86"/>
        <v>2886.4336955588406</v>
      </c>
      <c r="AN93" s="130">
        <f t="shared" si="87"/>
        <v>2809.0850820404926</v>
      </c>
      <c r="AO93" s="130">
        <f t="shared" si="88"/>
        <v>2777.47936909497</v>
      </c>
      <c r="AP93" s="130">
        <f t="shared" si="89"/>
        <v>3660.5446061232096</v>
      </c>
      <c r="AQ93" s="130">
        <f t="shared" si="90"/>
        <v>3362.2312637496757</v>
      </c>
      <c r="AR93" s="130">
        <f t="shared" si="94"/>
        <v>299.24517839219834</v>
      </c>
      <c r="AS93" s="130">
        <f t="shared" si="95"/>
        <v>157.23941016975874</v>
      </c>
      <c r="AT93" s="130">
        <f t="shared" si="96"/>
        <v>-35.971253611324975</v>
      </c>
      <c r="AU93" s="130">
        <f t="shared" si="97"/>
        <v>182.28496332600469</v>
      </c>
      <c r="AV93" s="130">
        <f t="shared" si="98"/>
        <v>334.8748302811829</v>
      </c>
      <c r="AW93" s="130">
        <f t="shared" si="99"/>
        <v>99.83512026565928</v>
      </c>
      <c r="AX93" s="130">
        <f t="shared" si="100"/>
        <v>1559.2061758048367</v>
      </c>
      <c r="AY93" s="130">
        <f t="shared" si="101"/>
        <v>623.631876258614</v>
      </c>
      <c r="AZ93" s="130">
        <f t="shared" si="102"/>
        <v>2921.1011224947315</v>
      </c>
      <c r="BA93" s="130">
        <f t="shared" si="103"/>
        <v>2057.0059918281104</v>
      </c>
      <c r="BB93" s="130">
        <f t="shared" si="104"/>
        <v>197.11581490079402</v>
      </c>
      <c r="BC93" s="130">
        <f t="shared" si="105"/>
        <v>1859.8901769273164</v>
      </c>
      <c r="BD93" s="129">
        <f t="shared" si="106"/>
        <v>11947.191892478244</v>
      </c>
      <c r="BE93" s="129">
        <f t="shared" si="57"/>
        <v>197.58542447895985</v>
      </c>
      <c r="BF93" s="130">
        <f t="shared" si="107"/>
        <v>12.57570811691701</v>
      </c>
      <c r="BG93" s="137">
        <f t="shared" si="108"/>
        <v>1.2584730047223571</v>
      </c>
      <c r="BH93" s="47"/>
      <c r="BI93" s="47"/>
      <c r="BJ93" s="47"/>
    </row>
    <row r="94" spans="1:62" ht="16.5" thickBot="1">
      <c r="A94" s="108">
        <f>IF(Data!A94&gt;0,Data!A94,"")</f>
        <v>74</v>
      </c>
      <c r="B94" s="109">
        <f>IF(A94&gt;0,IF(Data!$F$5="lb",Data!B94/2.204,Data!B94),"")</f>
        <v>65.69443856739521</v>
      </c>
      <c r="C94" s="109">
        <f>IF(A94&gt;0,Data!C94,"")</f>
        <v>0.4176936149597168</v>
      </c>
      <c r="D94" s="110">
        <f>IF(A94&gt;0,Data!D94,"")</f>
        <v>27.44156265258789</v>
      </c>
      <c r="E94" s="143">
        <f t="shared" si="58"/>
        <v>-0.289202701454527</v>
      </c>
      <c r="F94" s="144">
        <f t="shared" si="59"/>
        <v>19.33938065624438</v>
      </c>
      <c r="G94" s="145">
        <f t="shared" si="60"/>
        <v>-8.311028803823369</v>
      </c>
      <c r="H94" s="111">
        <f>IF(A94&gt;0,IF(Data!$F$4="F",(Data!F94-32)/1.8,Data!F94),"")</f>
        <v>122.87041558159721</v>
      </c>
      <c r="I94" s="123">
        <f>IF(A94&gt;0,IF(Data!$F$4="F",(Data!G94-32)/1.8,Data!G94),"")</f>
        <v>26.017591688368054</v>
      </c>
      <c r="J94" s="136">
        <f t="shared" si="61"/>
        <v>0.9861646117787498</v>
      </c>
      <c r="K94" s="128">
        <f t="shared" si="62"/>
        <v>0.8651984948170683</v>
      </c>
      <c r="L94" s="128">
        <f t="shared" si="63"/>
        <v>0.853228137752833</v>
      </c>
      <c r="M94" s="155">
        <f t="shared" si="64"/>
        <v>4.400885622516557</v>
      </c>
      <c r="N94" s="130">
        <f t="shared" si="65"/>
        <v>65.69443856739521</v>
      </c>
      <c r="O94" s="130">
        <f t="shared" si="66"/>
        <v>43.88833413325878</v>
      </c>
      <c r="P94" s="130">
        <f t="shared" si="56"/>
        <v>58.54501928787447</v>
      </c>
      <c r="Q94" s="130">
        <f t="shared" si="67"/>
        <v>38.13543955263009</v>
      </c>
      <c r="R94" s="129">
        <f t="shared" si="91"/>
        <v>10662.860250433716</v>
      </c>
      <c r="S94" s="130">
        <f t="shared" si="68"/>
        <v>4.166666666666667</v>
      </c>
      <c r="T94" s="130">
        <f t="shared" si="69"/>
        <v>6.6</v>
      </c>
      <c r="U94" s="134">
        <f t="shared" si="92"/>
        <v>2.68125</v>
      </c>
      <c r="V94" s="130">
        <f t="shared" si="70"/>
        <v>19887</v>
      </c>
      <c r="W94" s="130">
        <f t="shared" si="71"/>
        <v>19.17</v>
      </c>
      <c r="X94" s="130">
        <f t="shared" si="72"/>
        <v>80.45177253627577</v>
      </c>
      <c r="Y94" s="130">
        <f t="shared" si="73"/>
        <v>21.339992715192512</v>
      </c>
      <c r="Z94" s="130">
        <f t="shared" si="74"/>
        <v>6.703834307387387</v>
      </c>
      <c r="AA94" s="130">
        <f t="shared" si="75"/>
        <v>21.975879854578697</v>
      </c>
      <c r="AB94" s="130">
        <f t="shared" si="76"/>
        <v>0.0733866798998406</v>
      </c>
      <c r="AC94" s="130">
        <f t="shared" si="77"/>
        <v>0.667031513585045</v>
      </c>
      <c r="AD94" s="130">
        <f t="shared" si="78"/>
        <v>41.13982936893004</v>
      </c>
      <c r="AE94" s="130">
        <f t="shared" si="79"/>
        <v>-12.45972436767597</v>
      </c>
      <c r="AF94" s="130">
        <f t="shared" si="80"/>
        <v>0.6261977229752906</v>
      </c>
      <c r="AG94" s="130">
        <f t="shared" si="81"/>
        <v>0.11001980926720334</v>
      </c>
      <c r="AH94" s="130">
        <f t="shared" si="82"/>
        <v>120.61165162029238</v>
      </c>
      <c r="AI94" s="130">
        <f t="shared" si="83"/>
        <v>32.945789527194236</v>
      </c>
      <c r="AJ94" s="130">
        <f t="shared" si="84"/>
        <v>13.175906470369913</v>
      </c>
      <c r="AK94" s="130">
        <f t="shared" si="93"/>
        <v>396.0204155815972</v>
      </c>
      <c r="AL94" s="130">
        <f t="shared" si="85"/>
        <v>3837.330781597632</v>
      </c>
      <c r="AM94" s="130">
        <f t="shared" si="86"/>
        <v>2896.901476892077</v>
      </c>
      <c r="AN94" s="130">
        <f t="shared" si="87"/>
        <v>2819.242983182139</v>
      </c>
      <c r="AO94" s="130">
        <f t="shared" si="88"/>
        <v>2787.5291460676094</v>
      </c>
      <c r="AP94" s="130">
        <f t="shared" si="89"/>
        <v>3674.2343160743167</v>
      </c>
      <c r="AQ94" s="130">
        <f t="shared" si="90"/>
        <v>3374.380066983906</v>
      </c>
      <c r="AR94" s="130">
        <f t="shared" si="94"/>
        <v>299.167591688368</v>
      </c>
      <c r="AS94" s="130">
        <f t="shared" si="95"/>
        <v>157.8671335870695</v>
      </c>
      <c r="AT94" s="130">
        <f t="shared" si="96"/>
        <v>-36.09459392238872</v>
      </c>
      <c r="AU94" s="130">
        <f t="shared" si="97"/>
        <v>178.97497575452914</v>
      </c>
      <c r="AV94" s="130">
        <f t="shared" si="98"/>
        <v>336.2084942469176</v>
      </c>
      <c r="AW94" s="130">
        <f t="shared" si="99"/>
        <v>98.33903189671416</v>
      </c>
      <c r="AX94" s="130">
        <f t="shared" si="100"/>
        <v>1559.7650351928146</v>
      </c>
      <c r="AY94" s="130">
        <f t="shared" si="101"/>
        <v>623.7919477537553</v>
      </c>
      <c r="AZ94" s="130">
        <f t="shared" si="102"/>
        <v>2918.8520245094114</v>
      </c>
      <c r="BA94" s="130">
        <f t="shared" si="103"/>
        <v>1565.0078558374505</v>
      </c>
      <c r="BB94" s="130">
        <f t="shared" si="104"/>
        <v>147.52454792200456</v>
      </c>
      <c r="BC94" s="130">
        <f t="shared" si="105"/>
        <v>1417.483307915446</v>
      </c>
      <c r="BD94" s="129">
        <f t="shared" si="106"/>
        <v>9097.852394596266</v>
      </c>
      <c r="BE94" s="129">
        <f t="shared" si="57"/>
        <v>193.2922607162261</v>
      </c>
      <c r="BF94" s="130">
        <f t="shared" si="107"/>
        <v>9.400997971454178</v>
      </c>
      <c r="BG94" s="137">
        <f t="shared" si="108"/>
        <v>0.9438333391627185</v>
      </c>
      <c r="BH94" s="47"/>
      <c r="BI94" s="47"/>
      <c r="BJ94" s="47"/>
    </row>
    <row r="95" spans="1:62" ht="16.5" thickBot="1">
      <c r="A95" s="108">
        <f>IF(Data!A95&gt;0,Data!A95,"")</f>
        <v>75</v>
      </c>
      <c r="B95" s="109">
        <f>IF(A95&gt;0,IF(Data!$F$5="lb",Data!B95/2.204,Data!B95),"")</f>
        <v>65.23961726636938</v>
      </c>
      <c r="C95" s="109">
        <f>IF(A95&gt;0,Data!C95,"")</f>
        <v>0.3932367265224457</v>
      </c>
      <c r="D95" s="110">
        <f>IF(A95&gt;0,Data!D95,"")</f>
        <v>27.44174575805664</v>
      </c>
      <c r="E95" s="143">
        <f t="shared" si="58"/>
        <v>-0.2885828433544164</v>
      </c>
      <c r="F95" s="144">
        <f t="shared" si="59"/>
        <v>19.34077527662449</v>
      </c>
      <c r="G95" s="145">
        <f t="shared" si="60"/>
        <v>-8.297588844693372</v>
      </c>
      <c r="H95" s="111">
        <f>IF(A95&gt;0,IF(Data!$F$4="F",(Data!F95-32)/1.8,Data!F95),"")</f>
        <v>123.10258653428819</v>
      </c>
      <c r="I95" s="123">
        <f>IF(A95&gt;0,IF(Data!$F$4="F",(Data!G95-32)/1.8,Data!G95),"")</f>
        <v>26.182123819986977</v>
      </c>
      <c r="J95" s="136">
        <f t="shared" si="61"/>
        <v>0.9869111821837949</v>
      </c>
      <c r="K95" s="128">
        <f t="shared" si="62"/>
        <v>0.8652289029398686</v>
      </c>
      <c r="L95" s="128">
        <f t="shared" si="63"/>
        <v>0.8539040794599738</v>
      </c>
      <c r="M95" s="155">
        <f t="shared" si="64"/>
        <v>4.40586609766712</v>
      </c>
      <c r="N95" s="130">
        <f t="shared" si="65"/>
        <v>65.23961726636938</v>
      </c>
      <c r="O95" s="130">
        <f t="shared" si="66"/>
        <v>44.276811170718446</v>
      </c>
      <c r="P95" s="130">
        <f t="shared" si="56"/>
        <v>58.17518666816764</v>
      </c>
      <c r="Q95" s="130">
        <f t="shared" si="67"/>
        <v>38.526241925497374</v>
      </c>
      <c r="R95" s="129">
        <f t="shared" si="91"/>
        <v>11357.05253870295</v>
      </c>
      <c r="S95" s="130">
        <f t="shared" si="68"/>
        <v>4.166666666666667</v>
      </c>
      <c r="T95" s="130">
        <f t="shared" si="69"/>
        <v>6.6</v>
      </c>
      <c r="U95" s="134">
        <f t="shared" si="92"/>
        <v>2.68125</v>
      </c>
      <c r="V95" s="130">
        <f t="shared" si="70"/>
        <v>19887</v>
      </c>
      <c r="W95" s="130">
        <f t="shared" si="71"/>
        <v>19.17</v>
      </c>
      <c r="X95" s="130">
        <f t="shared" si="72"/>
        <v>80.46260636011428</v>
      </c>
      <c r="Y95" s="130">
        <f t="shared" si="73"/>
        <v>21.342866408518375</v>
      </c>
      <c r="Z95" s="130">
        <f t="shared" si="74"/>
        <v>6.697157898616742</v>
      </c>
      <c r="AA95" s="130">
        <f t="shared" si="75"/>
        <v>21.9609368794539</v>
      </c>
      <c r="AB95" s="130">
        <f t="shared" si="76"/>
        <v>0.06984209299067246</v>
      </c>
      <c r="AC95" s="130">
        <f t="shared" si="77"/>
        <v>0.6663672109123658</v>
      </c>
      <c r="AD95" s="130">
        <f t="shared" si="78"/>
        <v>41.18111652055088</v>
      </c>
      <c r="AE95" s="130">
        <f t="shared" si="79"/>
        <v>-12.451976491059058</v>
      </c>
      <c r="AF95" s="130">
        <f t="shared" si="80"/>
        <v>0.5901201621010737</v>
      </c>
      <c r="AG95" s="130">
        <f t="shared" si="81"/>
        <v>0.10481021852057695</v>
      </c>
      <c r="AH95" s="130">
        <f t="shared" si="82"/>
        <v>120.7481476316156</v>
      </c>
      <c r="AI95" s="130">
        <f t="shared" si="83"/>
        <v>32.956208708687484</v>
      </c>
      <c r="AJ95" s="130">
        <f t="shared" si="84"/>
        <v>13.175906470369913</v>
      </c>
      <c r="AK95" s="130">
        <f t="shared" si="93"/>
        <v>396.2525865342882</v>
      </c>
      <c r="AL95" s="130">
        <f t="shared" si="85"/>
        <v>3840.568152356136</v>
      </c>
      <c r="AM95" s="130">
        <f t="shared" si="86"/>
        <v>2899.0975963447977</v>
      </c>
      <c r="AN95" s="130">
        <f t="shared" si="87"/>
        <v>2821.3195058025317</v>
      </c>
      <c r="AO95" s="130">
        <f t="shared" si="88"/>
        <v>2789.5950553830257</v>
      </c>
      <c r="AP95" s="130">
        <f t="shared" si="89"/>
        <v>3677.876842362685</v>
      </c>
      <c r="AQ95" s="130">
        <f t="shared" si="90"/>
        <v>3376.846201485133</v>
      </c>
      <c r="AR95" s="130">
        <f t="shared" si="94"/>
        <v>299.332123819987</v>
      </c>
      <c r="AS95" s="130">
        <f t="shared" si="95"/>
        <v>158.15888458729486</v>
      </c>
      <c r="AT95" s="130">
        <f t="shared" si="96"/>
        <v>-36.09949511497124</v>
      </c>
      <c r="AU95" s="130">
        <f t="shared" si="97"/>
        <v>168.66479255757224</v>
      </c>
      <c r="AV95" s="130">
        <f t="shared" si="98"/>
        <v>336.8384355798145</v>
      </c>
      <c r="AW95" s="130">
        <f t="shared" si="99"/>
        <v>93.6829239529425</v>
      </c>
      <c r="AX95" s="130">
        <f t="shared" si="100"/>
        <v>1560.3395889055626</v>
      </c>
      <c r="AY95" s="130">
        <f t="shared" si="101"/>
        <v>623.8244413112868</v>
      </c>
      <c r="AZ95" s="130">
        <f t="shared" si="102"/>
        <v>2905.4095717795026</v>
      </c>
      <c r="BA95" s="130">
        <f t="shared" si="103"/>
        <v>1659.21904526325</v>
      </c>
      <c r="BB95" s="130">
        <f t="shared" si="104"/>
        <v>148.65012382157144</v>
      </c>
      <c r="BC95" s="130">
        <f t="shared" si="105"/>
        <v>1510.5689214416786</v>
      </c>
      <c r="BD95" s="129">
        <f t="shared" si="106"/>
        <v>9697.8334934397</v>
      </c>
      <c r="BE95" s="129">
        <f t="shared" si="57"/>
        <v>96.26643972530371</v>
      </c>
      <c r="BF95" s="130">
        <f t="shared" si="107"/>
        <v>9.4361502078561</v>
      </c>
      <c r="BG95" s="137">
        <f t="shared" si="108"/>
        <v>0.9576790130888556</v>
      </c>
      <c r="BH95" s="47"/>
      <c r="BI95" s="47"/>
      <c r="BJ95" s="47"/>
    </row>
    <row r="96" spans="1:62" ht="16.5" thickBot="1">
      <c r="A96" s="108">
        <f>IF(Data!A96&gt;0,Data!A96,"")</f>
        <v>76</v>
      </c>
      <c r="B96" s="109">
        <f>IF(A96&gt;0,IF(Data!$F$5="lb",Data!B96/2.204,Data!B96),"")</f>
        <v>64.29245078195893</v>
      </c>
      <c r="C96" s="109">
        <f>IF(A96&gt;0,Data!C96,"")</f>
        <v>0.35895317792892456</v>
      </c>
      <c r="D96" s="110">
        <f>IF(A96&gt;0,Data!D96,"")</f>
        <v>27.44156265258789</v>
      </c>
      <c r="E96" s="143">
        <f t="shared" si="58"/>
        <v>-0.2877008392512712</v>
      </c>
      <c r="F96" s="144">
        <f t="shared" si="59"/>
        <v>19.342755515891355</v>
      </c>
      <c r="G96" s="145">
        <f t="shared" si="60"/>
        <v>-8.278283725660998</v>
      </c>
      <c r="H96" s="111">
        <f>IF(A96&gt;0,IF(Data!$F$4="F",(Data!F96-32)/1.8,Data!F96),"")</f>
        <v>123.28971015082465</v>
      </c>
      <c r="I96" s="123">
        <f>IF(A96&gt;0,IF(Data!$F$4="F",(Data!G96-32)/1.8,Data!G96),"")</f>
        <v>26.38013203938802</v>
      </c>
      <c r="J96" s="136">
        <f t="shared" si="61"/>
        <v>0.9879600896808024</v>
      </c>
      <c r="K96" s="128">
        <f t="shared" si="62"/>
        <v>0.8653063708419716</v>
      </c>
      <c r="L96" s="128">
        <f t="shared" si="63"/>
        <v>0.8548881597384039</v>
      </c>
      <c r="M96" s="155">
        <f t="shared" si="64"/>
        <v>4.412932820659724</v>
      </c>
      <c r="N96" s="130">
        <f t="shared" si="65"/>
        <v>64.29245078195893</v>
      </c>
      <c r="O96" s="130">
        <f t="shared" si="66"/>
        <v>45.08581556214637</v>
      </c>
      <c r="P96" s="130">
        <f t="shared" si="56"/>
        <v>57.40286083876672</v>
      </c>
      <c r="Q96" s="130">
        <f t="shared" si="67"/>
        <v>39.34235913818628</v>
      </c>
      <c r="R96" s="129">
        <f t="shared" si="91"/>
        <v>11091.69103597258</v>
      </c>
      <c r="S96" s="130">
        <f t="shared" si="68"/>
        <v>4.166666666666667</v>
      </c>
      <c r="T96" s="130">
        <f t="shared" si="69"/>
        <v>6.6</v>
      </c>
      <c r="U96" s="134">
        <f t="shared" si="92"/>
        <v>2.68125</v>
      </c>
      <c r="V96" s="130">
        <f t="shared" si="70"/>
        <v>19887</v>
      </c>
      <c r="W96" s="130">
        <f t="shared" si="71"/>
        <v>19.17</v>
      </c>
      <c r="X96" s="130">
        <f t="shared" si="72"/>
        <v>80.47776789514418</v>
      </c>
      <c r="Y96" s="130">
        <f t="shared" si="73"/>
        <v>21.346888035847265</v>
      </c>
      <c r="Z96" s="130">
        <f t="shared" si="74"/>
        <v>6.68769321580839</v>
      </c>
      <c r="AA96" s="130">
        <f t="shared" si="75"/>
        <v>21.939642474798063</v>
      </c>
      <c r="AB96" s="130">
        <f t="shared" si="76"/>
        <v>0.06487256868481239</v>
      </c>
      <c r="AC96" s="130">
        <f t="shared" si="77"/>
        <v>0.6654254749729348</v>
      </c>
      <c r="AD96" s="130">
        <f t="shared" si="78"/>
        <v>41.23912246326914</v>
      </c>
      <c r="AE96" s="130">
        <f t="shared" si="79"/>
        <v>-12.440587318959656</v>
      </c>
      <c r="AF96" s="130">
        <f t="shared" si="80"/>
        <v>0.5394340785397861</v>
      </c>
      <c r="AG96" s="130">
        <f t="shared" si="81"/>
        <v>0.09749035936361015</v>
      </c>
      <c r="AH96" s="130">
        <f t="shared" si="82"/>
        <v>120.9418198159869</v>
      </c>
      <c r="AI96" s="130">
        <f t="shared" si="83"/>
        <v>32.97084842700142</v>
      </c>
      <c r="AJ96" s="130">
        <f t="shared" si="84"/>
        <v>13.175906470369913</v>
      </c>
      <c r="AK96" s="130">
        <f t="shared" si="93"/>
        <v>396.4397101508246</v>
      </c>
      <c r="AL96" s="130">
        <f t="shared" si="85"/>
        <v>3840.6780222934194</v>
      </c>
      <c r="AM96" s="130">
        <f t="shared" si="86"/>
        <v>2898.9399680127112</v>
      </c>
      <c r="AN96" s="130">
        <f t="shared" si="87"/>
        <v>2821.1071632606645</v>
      </c>
      <c r="AO96" s="130">
        <f t="shared" si="88"/>
        <v>2789.3974725284156</v>
      </c>
      <c r="AP96" s="130">
        <f t="shared" si="89"/>
        <v>3678.5088432745724</v>
      </c>
      <c r="AQ96" s="130">
        <f t="shared" si="90"/>
        <v>3376.5733369507666</v>
      </c>
      <c r="AR96" s="130">
        <f t="shared" si="94"/>
        <v>299.530132039388</v>
      </c>
      <c r="AS96" s="130">
        <f t="shared" si="95"/>
        <v>158.38619130334465</v>
      </c>
      <c r="AT96" s="130">
        <f t="shared" si="96"/>
        <v>-36.06451580448425</v>
      </c>
      <c r="AU96" s="130">
        <f t="shared" si="97"/>
        <v>154.1778695312852</v>
      </c>
      <c r="AV96" s="130">
        <f t="shared" si="98"/>
        <v>337.3548065177009</v>
      </c>
      <c r="AW96" s="130">
        <f t="shared" si="99"/>
        <v>87.14024747872682</v>
      </c>
      <c r="AX96" s="130">
        <f t="shared" si="100"/>
        <v>1561.0237221820837</v>
      </c>
      <c r="AY96" s="130">
        <f t="shared" si="101"/>
        <v>623.8208460737029</v>
      </c>
      <c r="AZ96" s="130">
        <f t="shared" si="102"/>
        <v>2885.83916728236</v>
      </c>
      <c r="BA96" s="130">
        <f t="shared" si="103"/>
        <v>1609.5356978430295</v>
      </c>
      <c r="BB96" s="130">
        <f t="shared" si="104"/>
        <v>133.5427210400797</v>
      </c>
      <c r="BC96" s="130">
        <f t="shared" si="105"/>
        <v>1475.99297680295</v>
      </c>
      <c r="BD96" s="129">
        <f t="shared" si="106"/>
        <v>9482.15533812955</v>
      </c>
      <c r="BE96" s="129">
        <f t="shared" si="57"/>
        <v>184.92391755302006</v>
      </c>
      <c r="BF96" s="130">
        <f t="shared" si="107"/>
        <v>8.424126903819605</v>
      </c>
      <c r="BG96" s="137">
        <f t="shared" si="108"/>
        <v>0.8699817529418015</v>
      </c>
      <c r="BH96" s="47"/>
      <c r="BI96" s="47"/>
      <c r="BJ96" s="47"/>
    </row>
    <row r="97" spans="1:62" ht="16.5" thickBot="1">
      <c r="A97" s="108">
        <f>IF(Data!A97&gt;0,Data!A97,"")</f>
        <v>77</v>
      </c>
      <c r="B97" s="109">
        <f>IF(A97&gt;0,IF(Data!$F$5="lb",Data!B97/2.204,Data!B97),"")</f>
        <v>63.87275100403385</v>
      </c>
      <c r="C97" s="109">
        <f>IF(A97&gt;0,Data!C97,"")</f>
        <v>0.35374724864959717</v>
      </c>
      <c r="D97" s="110">
        <f>IF(A97&gt;0,Data!D97,"")</f>
        <v>27.44186782836914</v>
      </c>
      <c r="E97" s="143">
        <f t="shared" si="58"/>
        <v>-0.2875752510031233</v>
      </c>
      <c r="F97" s="144">
        <f t="shared" si="59"/>
        <v>19.343037082663013</v>
      </c>
      <c r="G97" s="145">
        <f t="shared" si="60"/>
        <v>-8.275704370030926</v>
      </c>
      <c r="H97" s="111">
        <f>IF(A97&gt;0,IF(Data!$F$4="F",(Data!F97-32)/1.8,Data!F97),"")</f>
        <v>123.4552510579427</v>
      </c>
      <c r="I97" s="123">
        <f>IF(A97&gt;0,IF(Data!$F$4="F",(Data!G97-32)/1.8,Data!G97),"")</f>
        <v>26.592089335123696</v>
      </c>
      <c r="J97" s="136">
        <f t="shared" si="61"/>
        <v>0.9881197297048119</v>
      </c>
      <c r="K97" s="128">
        <f t="shared" si="62"/>
        <v>0.8653312678834801</v>
      </c>
      <c r="L97" s="128">
        <f t="shared" si="63"/>
        <v>0.8550508985261466</v>
      </c>
      <c r="M97" s="155">
        <f t="shared" si="64"/>
        <v>4.413955850722625</v>
      </c>
      <c r="N97" s="130">
        <f t="shared" si="65"/>
        <v>63.87275100403385</v>
      </c>
      <c r="O97" s="130">
        <f t="shared" si="66"/>
        <v>45.444294212955114</v>
      </c>
      <c r="P97" s="130">
        <f t="shared" si="56"/>
        <v>57.05971515049553</v>
      </c>
      <c r="Q97" s="130">
        <f t="shared" si="67"/>
        <v>39.70496141302581</v>
      </c>
      <c r="R97" s="129">
        <f t="shared" si="91"/>
        <v>10767.254619372066</v>
      </c>
      <c r="S97" s="130">
        <f t="shared" si="68"/>
        <v>4.166666666666667</v>
      </c>
      <c r="T97" s="130">
        <f t="shared" si="69"/>
        <v>6.6</v>
      </c>
      <c r="U97" s="134">
        <f t="shared" si="92"/>
        <v>2.68125</v>
      </c>
      <c r="V97" s="130">
        <f t="shared" si="70"/>
        <v>19887</v>
      </c>
      <c r="W97" s="130">
        <f t="shared" si="71"/>
        <v>19.17</v>
      </c>
      <c r="X97" s="130">
        <f t="shared" si="72"/>
        <v>80.48008929301218</v>
      </c>
      <c r="Y97" s="130">
        <f t="shared" si="73"/>
        <v>21.347503791249917</v>
      </c>
      <c r="Z97" s="130">
        <f t="shared" si="74"/>
        <v>6.686336060949112</v>
      </c>
      <c r="AA97" s="130">
        <f t="shared" si="75"/>
        <v>21.936671980593605</v>
      </c>
      <c r="AB97" s="130">
        <f t="shared" si="76"/>
        <v>0.06411851026923188</v>
      </c>
      <c r="AC97" s="130">
        <f t="shared" si="77"/>
        <v>0.6652904380644367</v>
      </c>
      <c r="AD97" s="130">
        <f t="shared" si="78"/>
        <v>41.247951658838154</v>
      </c>
      <c r="AE97" s="130">
        <f t="shared" si="79"/>
        <v>-12.439235402372315</v>
      </c>
      <c r="AF97" s="130">
        <f t="shared" si="80"/>
        <v>0.53171852233255</v>
      </c>
      <c r="AG97" s="130">
        <f t="shared" si="81"/>
        <v>0.09637672000183127</v>
      </c>
      <c r="AH97" s="130">
        <f t="shared" si="82"/>
        <v>120.96985720575965</v>
      </c>
      <c r="AI97" s="130">
        <f t="shared" si="83"/>
        <v>32.97307570572498</v>
      </c>
      <c r="AJ97" s="130">
        <f t="shared" si="84"/>
        <v>13.175906470369913</v>
      </c>
      <c r="AK97" s="130">
        <f t="shared" si="93"/>
        <v>396.60525105794267</v>
      </c>
      <c r="AL97" s="130">
        <f t="shared" si="85"/>
        <v>3839.3686704844254</v>
      </c>
      <c r="AM97" s="130">
        <f t="shared" si="86"/>
        <v>2897.7160199754057</v>
      </c>
      <c r="AN97" s="130">
        <f t="shared" si="87"/>
        <v>2819.8583328489044</v>
      </c>
      <c r="AO97" s="130">
        <f t="shared" si="88"/>
        <v>2788.174799679798</v>
      </c>
      <c r="AP97" s="130">
        <f t="shared" si="89"/>
        <v>3677.770801519146</v>
      </c>
      <c r="AQ97" s="130">
        <f t="shared" si="90"/>
        <v>3375.0602854361914</v>
      </c>
      <c r="AR97" s="130">
        <f t="shared" si="94"/>
        <v>299.7420893351237</v>
      </c>
      <c r="AS97" s="130">
        <f t="shared" si="95"/>
        <v>158.3660933205993</v>
      </c>
      <c r="AT97" s="130">
        <f t="shared" si="96"/>
        <v>-36.04537170169947</v>
      </c>
      <c r="AU97" s="130">
        <f t="shared" si="97"/>
        <v>151.9719906963849</v>
      </c>
      <c r="AV97" s="130">
        <f t="shared" si="98"/>
        <v>337.2851073819627</v>
      </c>
      <c r="AW97" s="130">
        <f t="shared" si="99"/>
        <v>86.14476705671903</v>
      </c>
      <c r="AX97" s="130">
        <f t="shared" si="100"/>
        <v>1561.079284008095</v>
      </c>
      <c r="AY97" s="130">
        <f t="shared" si="101"/>
        <v>623.8009102484621</v>
      </c>
      <c r="AZ97" s="130">
        <f t="shared" si="102"/>
        <v>2882.6027810105234</v>
      </c>
      <c r="BA97" s="130">
        <f t="shared" si="103"/>
        <v>1560.7038824181786</v>
      </c>
      <c r="BB97" s="130">
        <f t="shared" si="104"/>
        <v>127.91766058150773</v>
      </c>
      <c r="BC97" s="130">
        <f t="shared" si="105"/>
        <v>1432.7862218366708</v>
      </c>
      <c r="BD97" s="129">
        <f t="shared" si="106"/>
        <v>9206.550736953888</v>
      </c>
      <c r="BE97" s="129">
        <f t="shared" si="57"/>
        <v>81.07260756721865</v>
      </c>
      <c r="BF97" s="130">
        <f t="shared" si="107"/>
        <v>8.06075144778717</v>
      </c>
      <c r="BG97" s="137">
        <f t="shared" si="108"/>
        <v>0.8348872599303231</v>
      </c>
      <c r="BH97" s="47"/>
      <c r="BI97" s="47"/>
      <c r="BJ97" s="47"/>
    </row>
    <row r="98" spans="1:62" ht="16.5" thickBot="1">
      <c r="A98" s="108">
        <f>IF(Data!A98&gt;0,Data!A98,"")</f>
        <v>78</v>
      </c>
      <c r="B98" s="109">
        <f>IF(A98&gt;0,IF(Data!$F$5="lb",Data!B98/2.204,Data!B98),"")</f>
        <v>62.970343172658374</v>
      </c>
      <c r="C98" s="109">
        <f>IF(A98&gt;0,Data!C98,"")</f>
        <v>0.35374724864959717</v>
      </c>
      <c r="D98" s="110">
        <f>IF(A98&gt;0,Data!D98,"")</f>
        <v>27.441471099853516</v>
      </c>
      <c r="E98" s="143">
        <f t="shared" si="58"/>
        <v>-0.28756508237592915</v>
      </c>
      <c r="F98" s="144">
        <f t="shared" si="59"/>
        <v>19.343059876212497</v>
      </c>
      <c r="G98" s="145">
        <f t="shared" si="60"/>
        <v>-8.275284847965818</v>
      </c>
      <c r="H98" s="111">
        <f>IF(A98&gt;0,IF(Data!$F$4="F",(Data!F98-32)/1.8,Data!F98),"")</f>
        <v>123.33240085177951</v>
      </c>
      <c r="I98" s="123">
        <f>IF(A98&gt;0,IF(Data!$F$4="F",(Data!G98-32)/1.8,Data!G98),"")</f>
        <v>26.390469868977863</v>
      </c>
      <c r="J98" s="136">
        <f t="shared" si="61"/>
        <v>0.9881196051191516</v>
      </c>
      <c r="K98" s="128">
        <f t="shared" si="62"/>
        <v>0.8653070892626262</v>
      </c>
      <c r="L98" s="128">
        <f t="shared" si="63"/>
        <v>0.8550268993489886</v>
      </c>
      <c r="M98" s="155">
        <f t="shared" si="64"/>
        <v>4.41401756283286</v>
      </c>
      <c r="N98" s="130">
        <f t="shared" si="65"/>
        <v>62.970343172658374</v>
      </c>
      <c r="O98" s="130">
        <f t="shared" si="66"/>
        <v>46.21506884493138</v>
      </c>
      <c r="P98" s="130">
        <f t="shared" si="56"/>
        <v>56.32001731089705</v>
      </c>
      <c r="Q98" s="130">
        <f t="shared" si="67"/>
        <v>40.48660060739715</v>
      </c>
      <c r="R98" s="129">
        <f t="shared" si="91"/>
        <v>14998.09879589581</v>
      </c>
      <c r="S98" s="130">
        <f t="shared" si="68"/>
        <v>4.166666666666667</v>
      </c>
      <c r="T98" s="130">
        <f t="shared" si="69"/>
        <v>6.6</v>
      </c>
      <c r="U98" s="134">
        <f t="shared" si="92"/>
        <v>2.68125</v>
      </c>
      <c r="V98" s="130">
        <f t="shared" si="70"/>
        <v>19887</v>
      </c>
      <c r="W98" s="130">
        <f t="shared" si="71"/>
        <v>19.17</v>
      </c>
      <c r="X98" s="130">
        <f t="shared" si="72"/>
        <v>80.48006649946271</v>
      </c>
      <c r="Y98" s="130">
        <f t="shared" si="73"/>
        <v>21.347497745215573</v>
      </c>
      <c r="Z98" s="130">
        <f t="shared" si="74"/>
        <v>6.686240686016752</v>
      </c>
      <c r="AA98" s="130">
        <f t="shared" si="75"/>
        <v>21.93635857738857</v>
      </c>
      <c r="AB98" s="130">
        <f t="shared" si="76"/>
        <v>0.06411784323335468</v>
      </c>
      <c r="AC98" s="130">
        <f t="shared" si="77"/>
        <v>0.6652809482586668</v>
      </c>
      <c r="AD98" s="130">
        <f t="shared" si="78"/>
        <v>41.247943702100486</v>
      </c>
      <c r="AE98" s="130">
        <f t="shared" si="79"/>
        <v>-12.438782246246316</v>
      </c>
      <c r="AF98" s="130">
        <f t="shared" si="80"/>
        <v>0.5317261069560304</v>
      </c>
      <c r="AG98" s="130">
        <f t="shared" si="81"/>
        <v>0.096377092116014</v>
      </c>
      <c r="AH98" s="130">
        <f t="shared" si="82"/>
        <v>120.97154850159843</v>
      </c>
      <c r="AI98" s="130">
        <f t="shared" si="83"/>
        <v>32.973074961496614</v>
      </c>
      <c r="AJ98" s="130">
        <f t="shared" si="84"/>
        <v>13.175906470369913</v>
      </c>
      <c r="AK98" s="130">
        <f t="shared" si="93"/>
        <v>396.4824008517795</v>
      </c>
      <c r="AL98" s="130">
        <f t="shared" si="85"/>
        <v>3842.0347571219777</v>
      </c>
      <c r="AM98" s="130">
        <f t="shared" si="86"/>
        <v>2899.9309005127793</v>
      </c>
      <c r="AN98" s="130">
        <f t="shared" si="87"/>
        <v>2822.063372423276</v>
      </c>
      <c r="AO98" s="130">
        <f t="shared" si="88"/>
        <v>2790.3446377452537</v>
      </c>
      <c r="AP98" s="130">
        <f t="shared" si="89"/>
        <v>3679.8808378674985</v>
      </c>
      <c r="AQ98" s="130">
        <f t="shared" si="90"/>
        <v>3377.715243287091</v>
      </c>
      <c r="AR98" s="130">
        <f t="shared" si="94"/>
        <v>299.5404698689778</v>
      </c>
      <c r="AS98" s="130">
        <f t="shared" si="95"/>
        <v>158.47603336328064</v>
      </c>
      <c r="AT98" s="130">
        <f t="shared" si="96"/>
        <v>-36.07160900063945</v>
      </c>
      <c r="AU98" s="130">
        <f t="shared" si="97"/>
        <v>151.97533095640978</v>
      </c>
      <c r="AV98" s="130">
        <f t="shared" si="98"/>
        <v>337.55231168117507</v>
      </c>
      <c r="AW98" s="130">
        <f t="shared" si="99"/>
        <v>86.14530302410967</v>
      </c>
      <c r="AX98" s="130">
        <f t="shared" si="100"/>
        <v>1561.1667908975398</v>
      </c>
      <c r="AY98" s="130">
        <f t="shared" si="101"/>
        <v>623.8358917247882</v>
      </c>
      <c r="AZ98" s="130">
        <f t="shared" si="102"/>
        <v>2883.0800526466637</v>
      </c>
      <c r="BA98" s="130">
        <f t="shared" si="103"/>
        <v>2174.3208863112163</v>
      </c>
      <c r="BB98" s="130">
        <f t="shared" si="104"/>
        <v>178.18300932695195</v>
      </c>
      <c r="BC98" s="130">
        <f t="shared" si="105"/>
        <v>1996.1378769842645</v>
      </c>
      <c r="BD98" s="129">
        <f t="shared" si="106"/>
        <v>12823.777909584594</v>
      </c>
      <c r="BE98" s="129">
        <f t="shared" si="57"/>
        <v>174.765015564562</v>
      </c>
      <c r="BF98" s="130">
        <f t="shared" si="107"/>
        <v>11.22827269902655</v>
      </c>
      <c r="BG98" s="137">
        <f t="shared" si="108"/>
        <v>1.1629491822534352</v>
      </c>
      <c r="BH98" s="47"/>
      <c r="BI98" s="47"/>
      <c r="BJ98" s="47"/>
    </row>
    <row r="99" spans="1:62" ht="16.5" thickBot="1">
      <c r="A99" s="108">
        <f>IF(Data!A99&gt;0,Data!A99,"")</f>
        <v>79</v>
      </c>
      <c r="B99" s="109">
        <f>IF(A99&gt;0,IF(Data!$F$5="lb",Data!B99/2.204,Data!B99),"")</f>
        <v>62.035915423218434</v>
      </c>
      <c r="C99" s="109">
        <f>IF(A99&gt;0,Data!C99,"")</f>
        <v>0.3460785448551178</v>
      </c>
      <c r="D99" s="110">
        <f>IF(A99&gt;0,Data!D99,"")</f>
        <v>27.44168472290039</v>
      </c>
      <c r="E99" s="143">
        <f t="shared" si="58"/>
        <v>-0.2873739457311002</v>
      </c>
      <c r="F99" s="144">
        <f t="shared" si="59"/>
        <v>19.343488198718283</v>
      </c>
      <c r="G99" s="145">
        <f t="shared" si="60"/>
        <v>-8.271235796609666</v>
      </c>
      <c r="H99" s="111">
        <f>IF(A99&gt;0,IF(Data!$F$4="F",(Data!F99-32)/1.8,Data!F99),"")</f>
        <v>123.54354010687933</v>
      </c>
      <c r="I99" s="123">
        <f>IF(A99&gt;0,IF(Data!$F$4="F",(Data!G99-32)/1.8,Data!G99),"")</f>
        <v>26.223364935980904</v>
      </c>
      <c r="J99" s="136">
        <f t="shared" si="61"/>
        <v>0.988354815503734</v>
      </c>
      <c r="K99" s="128">
        <f t="shared" si="62"/>
        <v>0.8652014155513831</v>
      </c>
      <c r="L99" s="128">
        <f t="shared" si="63"/>
        <v>0.8551259854408567</v>
      </c>
      <c r="M99" s="155">
        <f t="shared" si="64"/>
        <v>4.415562078431403</v>
      </c>
      <c r="N99" s="130">
        <f t="shared" si="65"/>
        <v>62.035915423218434</v>
      </c>
      <c r="O99" s="130">
        <f t="shared" si="66"/>
        <v>47.01319268610548</v>
      </c>
      <c r="P99" s="130">
        <f t="shared" si="56"/>
        <v>55.55138319535943</v>
      </c>
      <c r="Q99" s="130">
        <f t="shared" si="67"/>
        <v>41.29881678361484</v>
      </c>
      <c r="R99" s="129">
        <f t="shared" si="91"/>
        <v>11389.674291252595</v>
      </c>
      <c r="S99" s="130">
        <f t="shared" si="68"/>
        <v>4.166666666666667</v>
      </c>
      <c r="T99" s="130">
        <f t="shared" si="69"/>
        <v>6.6</v>
      </c>
      <c r="U99" s="134">
        <f t="shared" si="92"/>
        <v>2.68125</v>
      </c>
      <c r="V99" s="130">
        <f t="shared" si="70"/>
        <v>19887</v>
      </c>
      <c r="W99" s="130">
        <f t="shared" si="71"/>
        <v>19.17</v>
      </c>
      <c r="X99" s="130">
        <f t="shared" si="72"/>
        <v>80.48347252885415</v>
      </c>
      <c r="Y99" s="130">
        <f t="shared" si="73"/>
        <v>21.348401201287572</v>
      </c>
      <c r="Z99" s="130">
        <f t="shared" si="74"/>
        <v>6.684184783845199</v>
      </c>
      <c r="AA99" s="130">
        <f t="shared" si="75"/>
        <v>21.931796456823513</v>
      </c>
      <c r="AB99" s="130">
        <f t="shared" si="76"/>
        <v>0.06300666493282137</v>
      </c>
      <c r="AC99" s="130">
        <f t="shared" si="77"/>
        <v>0.6650763859925973</v>
      </c>
      <c r="AD99" s="130">
        <f t="shared" si="78"/>
        <v>41.26095182577394</v>
      </c>
      <c r="AE99" s="130">
        <f t="shared" si="79"/>
        <v>-12.436520031101706</v>
      </c>
      <c r="AF99" s="130">
        <f t="shared" si="80"/>
        <v>0.5203590927959512</v>
      </c>
      <c r="AG99" s="130">
        <f t="shared" si="81"/>
        <v>0.09473598260263998</v>
      </c>
      <c r="AH99" s="130">
        <f t="shared" si="82"/>
        <v>121.01387784011621</v>
      </c>
      <c r="AI99" s="130">
        <f t="shared" si="83"/>
        <v>32.97635718052336</v>
      </c>
      <c r="AJ99" s="130">
        <f t="shared" si="84"/>
        <v>13.175906470369913</v>
      </c>
      <c r="AK99" s="130">
        <f t="shared" si="93"/>
        <v>396.6935401068793</v>
      </c>
      <c r="AL99" s="130">
        <f t="shared" si="85"/>
        <v>3857.0875949251663</v>
      </c>
      <c r="AM99" s="130">
        <f t="shared" si="86"/>
        <v>2911.2650205094656</v>
      </c>
      <c r="AN99" s="130">
        <f t="shared" si="87"/>
        <v>2833.086386754365</v>
      </c>
      <c r="AO99" s="130">
        <f t="shared" si="88"/>
        <v>2801.245178801594</v>
      </c>
      <c r="AP99" s="130">
        <f t="shared" si="89"/>
        <v>3694.358843205881</v>
      </c>
      <c r="AQ99" s="130">
        <f t="shared" si="90"/>
        <v>3390.906492359445</v>
      </c>
      <c r="AR99" s="130">
        <f t="shared" si="94"/>
        <v>299.3733649359809</v>
      </c>
      <c r="AS99" s="130">
        <f t="shared" si="95"/>
        <v>159.14710544199755</v>
      </c>
      <c r="AT99" s="130">
        <f t="shared" si="96"/>
        <v>-36.20600574341169</v>
      </c>
      <c r="AU99" s="130">
        <f t="shared" si="97"/>
        <v>148.73220300962865</v>
      </c>
      <c r="AV99" s="130">
        <f t="shared" si="98"/>
        <v>338.9895418677106</v>
      </c>
      <c r="AW99" s="130">
        <f t="shared" si="99"/>
        <v>84.67979204473345</v>
      </c>
      <c r="AX99" s="130">
        <f t="shared" si="100"/>
        <v>1561.757192528232</v>
      </c>
      <c r="AY99" s="130">
        <f t="shared" si="101"/>
        <v>624.0096983887929</v>
      </c>
      <c r="AZ99" s="130">
        <f t="shared" si="102"/>
        <v>2881.1095275376833</v>
      </c>
      <c r="BA99" s="130">
        <f t="shared" si="103"/>
        <v>1650.067839094829</v>
      </c>
      <c r="BB99" s="130">
        <f t="shared" si="104"/>
        <v>132.63461423792916</v>
      </c>
      <c r="BC99" s="130">
        <f t="shared" si="105"/>
        <v>1517.4332248568999</v>
      </c>
      <c r="BD99" s="129">
        <f t="shared" si="106"/>
        <v>9739.606452157766</v>
      </c>
      <c r="BE99" s="129">
        <f t="shared" si="57"/>
        <v>178.00627158352745</v>
      </c>
      <c r="BF99" s="130">
        <f t="shared" si="107"/>
        <v>8.344555552886403</v>
      </c>
      <c r="BG99" s="137">
        <f t="shared" si="108"/>
        <v>0.8681144349622097</v>
      </c>
      <c r="BH99" s="47"/>
      <c r="BI99" s="47"/>
      <c r="BJ99" s="47"/>
    </row>
    <row r="100" spans="1:62" ht="16.5" thickBot="1">
      <c r="A100" s="108">
        <f>IF(Data!A100&gt;0,Data!A100,"")</f>
        <v>80</v>
      </c>
      <c r="B100" s="109">
        <f>IF(A100&gt;0,IF(Data!$F$5="lb",Data!B100/2.204,Data!B100),"")</f>
        <v>61.57903100098542</v>
      </c>
      <c r="C100" s="109">
        <f>IF(A100&gt;0,Data!C100,"")</f>
        <v>0.33839768171310425</v>
      </c>
      <c r="D100" s="110">
        <f>IF(A100&gt;0,Data!D100,"")</f>
        <v>27.441442489624023</v>
      </c>
      <c r="E100" s="143">
        <f t="shared" si="58"/>
        <v>-0.2871706974437307</v>
      </c>
      <c r="F100" s="144">
        <f t="shared" si="59"/>
        <v>19.34394341048948</v>
      </c>
      <c r="G100" s="145">
        <f t="shared" si="60"/>
        <v>-8.266697919991095</v>
      </c>
      <c r="H100" s="111">
        <f>IF(A100&gt;0,IF(Data!$F$4="F",(Data!F100-32)/1.8,Data!F100),"")</f>
        <v>123.7396240234375</v>
      </c>
      <c r="I100" s="123">
        <f>IF(A100&gt;0,IF(Data!$F$4="F",(Data!G100-32)/1.8,Data!G100),"")</f>
        <v>26.601757473415798</v>
      </c>
      <c r="J100" s="136">
        <f t="shared" si="61"/>
        <v>0.988590408289726</v>
      </c>
      <c r="K100" s="128">
        <f t="shared" si="62"/>
        <v>0.8652744007879539</v>
      </c>
      <c r="L100" s="128">
        <f t="shared" si="63"/>
        <v>0.8554019731576112</v>
      </c>
      <c r="M100" s="155">
        <f t="shared" si="64"/>
        <v>4.417181054564611</v>
      </c>
      <c r="N100" s="130">
        <f t="shared" si="65"/>
        <v>61.57903100098542</v>
      </c>
      <c r="O100" s="130">
        <f t="shared" si="66"/>
        <v>47.40343189963887</v>
      </c>
      <c r="P100" s="130">
        <f t="shared" si="56"/>
        <v>55.174578150515636</v>
      </c>
      <c r="Q100" s="130">
        <f t="shared" si="67"/>
        <v>41.69698692271736</v>
      </c>
      <c r="R100" s="129">
        <f t="shared" si="91"/>
        <v>11058.097124166614</v>
      </c>
      <c r="S100" s="130">
        <f t="shared" si="68"/>
        <v>4.166666666666667</v>
      </c>
      <c r="T100" s="130">
        <f t="shared" si="69"/>
        <v>6.6</v>
      </c>
      <c r="U100" s="134">
        <f t="shared" si="92"/>
        <v>2.68125</v>
      </c>
      <c r="V100" s="130">
        <f t="shared" si="70"/>
        <v>19887</v>
      </c>
      <c r="W100" s="130">
        <f t="shared" si="71"/>
        <v>19.17</v>
      </c>
      <c r="X100" s="130">
        <f t="shared" si="72"/>
        <v>80.48685774865396</v>
      </c>
      <c r="Y100" s="130">
        <f t="shared" si="73"/>
        <v>21.349299137573993</v>
      </c>
      <c r="Z100" s="130">
        <f t="shared" si="74"/>
        <v>6.682015950980964</v>
      </c>
      <c r="AA100" s="130">
        <f t="shared" si="75"/>
        <v>21.926866722736733</v>
      </c>
      <c r="AB100" s="130">
        <f t="shared" si="76"/>
        <v>0.0618929577502243</v>
      </c>
      <c r="AC100" s="130">
        <f t="shared" si="77"/>
        <v>0.664860587122606</v>
      </c>
      <c r="AD100" s="130">
        <f t="shared" si="78"/>
        <v>41.27397987055531</v>
      </c>
      <c r="AE100" s="130">
        <f t="shared" si="79"/>
        <v>-12.433731341735626</v>
      </c>
      <c r="AF100" s="130">
        <f t="shared" si="80"/>
        <v>0.5089753976508474</v>
      </c>
      <c r="AG100" s="130">
        <f t="shared" si="81"/>
        <v>0.0930916329663721</v>
      </c>
      <c r="AH100" s="130">
        <f t="shared" si="82"/>
        <v>121.05824786063232</v>
      </c>
      <c r="AI100" s="130">
        <f t="shared" si="83"/>
        <v>32.979645879795896</v>
      </c>
      <c r="AJ100" s="130">
        <f t="shared" si="84"/>
        <v>13.175906470369913</v>
      </c>
      <c r="AK100" s="130">
        <f t="shared" si="93"/>
        <v>396.8896240234375</v>
      </c>
      <c r="AL100" s="130">
        <f t="shared" si="85"/>
        <v>3850.6713123490717</v>
      </c>
      <c r="AM100" s="130">
        <f t="shared" si="86"/>
        <v>2906.0625009134706</v>
      </c>
      <c r="AN100" s="130">
        <f t="shared" si="87"/>
        <v>2827.9354523690695</v>
      </c>
      <c r="AO100" s="130">
        <f t="shared" si="88"/>
        <v>2796.1706331629775</v>
      </c>
      <c r="AP100" s="130">
        <f t="shared" si="89"/>
        <v>3689.0007444192465</v>
      </c>
      <c r="AQ100" s="130">
        <f t="shared" si="90"/>
        <v>3384.713390981997</v>
      </c>
      <c r="AR100" s="130">
        <f t="shared" si="94"/>
        <v>299.75175747341575</v>
      </c>
      <c r="AS100" s="130">
        <f t="shared" si="95"/>
        <v>158.9325302340204</v>
      </c>
      <c r="AT100" s="130">
        <f t="shared" si="96"/>
        <v>-36.13320039865044</v>
      </c>
      <c r="AU100" s="130">
        <f t="shared" si="97"/>
        <v>145.47582427880673</v>
      </c>
      <c r="AV100" s="130">
        <f t="shared" si="98"/>
        <v>338.49951757006494</v>
      </c>
      <c r="AW100" s="130">
        <f t="shared" si="99"/>
        <v>83.20949073812608</v>
      </c>
      <c r="AX100" s="130">
        <f t="shared" si="100"/>
        <v>1561.7086987279351</v>
      </c>
      <c r="AY100" s="130">
        <f t="shared" si="101"/>
        <v>623.9280986642822</v>
      </c>
      <c r="AZ100" s="130">
        <f t="shared" si="102"/>
        <v>2875.6209598145847</v>
      </c>
      <c r="BA100" s="130">
        <f t="shared" si="103"/>
        <v>1598.9790247859858</v>
      </c>
      <c r="BB100" s="130">
        <f t="shared" si="104"/>
        <v>126.16814000773704</v>
      </c>
      <c r="BC100" s="130">
        <f t="shared" si="105"/>
        <v>1472.8108847782487</v>
      </c>
      <c r="BD100" s="129">
        <f t="shared" si="106"/>
        <v>9459.118099380628</v>
      </c>
      <c r="BE100" s="129">
        <f t="shared" si="57"/>
        <v>85.49802565687102</v>
      </c>
      <c r="BF100" s="130">
        <f t="shared" si="107"/>
        <v>7.924391947954093</v>
      </c>
      <c r="BG100" s="137">
        <f t="shared" si="108"/>
        <v>0.8282124554045664</v>
      </c>
      <c r="BH100" s="47"/>
      <c r="BI100" s="47"/>
      <c r="BJ100" s="47"/>
    </row>
    <row r="101" spans="1:62" ht="16.5" thickBot="1">
      <c r="A101" s="108">
        <f>IF(Data!A101&gt;0,Data!A101,"")</f>
        <v>81</v>
      </c>
      <c r="B101" s="109">
        <f>IF(A101&gt;0,IF(Data!$F$5="lb",Data!B101/2.204,Data!B101),"")</f>
        <v>60.68970114263129</v>
      </c>
      <c r="C101" s="109">
        <f>IF(A101&gt;0,Data!C101,"")</f>
        <v>0.42077818512916565</v>
      </c>
      <c r="D101" s="110">
        <f>IF(A101&gt;0,Data!D101,"")</f>
        <v>27.44156265258789</v>
      </c>
      <c r="E101" s="143">
        <f t="shared" si="58"/>
        <v>-0.28928139204827097</v>
      </c>
      <c r="F101" s="144">
        <f t="shared" si="59"/>
        <v>19.339203436054685</v>
      </c>
      <c r="G101" s="145">
        <f t="shared" si="60"/>
        <v>-8.312748309097788</v>
      </c>
      <c r="H101" s="111">
        <f>IF(A101&gt;0,IF(Data!$F$4="F",(Data!F101-32)/1.8,Data!F101),"")</f>
        <v>123.69183858235677</v>
      </c>
      <c r="I101" s="123">
        <f>IF(A101&gt;0,IF(Data!$F$4="F",(Data!G101-32)/1.8,Data!G101),"")</f>
        <v>26.112263997395832</v>
      </c>
      <c r="J101" s="136">
        <f t="shared" si="61"/>
        <v>0.9860705667790091</v>
      </c>
      <c r="K101" s="128">
        <f t="shared" si="62"/>
        <v>0.8649512630134232</v>
      </c>
      <c r="L101" s="128">
        <f t="shared" si="63"/>
        <v>0.8529029821558658</v>
      </c>
      <c r="M101" s="155">
        <f t="shared" si="64"/>
        <v>4.400254604588152</v>
      </c>
      <c r="N101" s="130">
        <f t="shared" si="65"/>
        <v>60.68970114263129</v>
      </c>
      <c r="O101" s="130">
        <f t="shared" si="66"/>
        <v>48.163036227577365</v>
      </c>
      <c r="P101" s="130">
        <f t="shared" si="56"/>
        <v>54.4392901572776</v>
      </c>
      <c r="Q101" s="130">
        <f t="shared" si="67"/>
        <v>42.47396622953469</v>
      </c>
      <c r="R101" s="129">
        <f t="shared" si="91"/>
        <v>10875.114575419082</v>
      </c>
      <c r="S101" s="130">
        <f t="shared" si="68"/>
        <v>4.166666666666667</v>
      </c>
      <c r="T101" s="130">
        <f t="shared" si="69"/>
        <v>6.6</v>
      </c>
      <c r="U101" s="134">
        <f t="shared" si="92"/>
        <v>2.68125</v>
      </c>
      <c r="V101" s="130">
        <f t="shared" si="70"/>
        <v>19887</v>
      </c>
      <c r="W101" s="130">
        <f t="shared" si="71"/>
        <v>19.17</v>
      </c>
      <c r="X101" s="130">
        <f t="shared" si="72"/>
        <v>80.45040747138073</v>
      </c>
      <c r="Y101" s="130">
        <f t="shared" si="73"/>
        <v>21.339630629013456</v>
      </c>
      <c r="Z101" s="130">
        <f t="shared" si="74"/>
        <v>6.704681906283542</v>
      </c>
      <c r="AA101" s="130">
        <f t="shared" si="75"/>
        <v>21.977782747140278</v>
      </c>
      <c r="AB101" s="130">
        <f t="shared" si="76"/>
        <v>0.07383377179770534</v>
      </c>
      <c r="AC101" s="130">
        <f t="shared" si="77"/>
        <v>0.6671158496752125</v>
      </c>
      <c r="AD101" s="130">
        <f t="shared" si="78"/>
        <v>41.13462851459443</v>
      </c>
      <c r="AE101" s="130">
        <f t="shared" si="79"/>
        <v>-12.460726743555675</v>
      </c>
      <c r="AF101" s="130">
        <f t="shared" si="80"/>
        <v>0.6307422996081158</v>
      </c>
      <c r="AG101" s="130">
        <f t="shared" si="81"/>
        <v>0.11067608696997912</v>
      </c>
      <c r="AH101" s="130">
        <f t="shared" si="82"/>
        <v>120.59435780239409</v>
      </c>
      <c r="AI101" s="130">
        <f t="shared" si="83"/>
        <v>32.94447697178868</v>
      </c>
      <c r="AJ101" s="130">
        <f t="shared" si="84"/>
        <v>13.175906470369913</v>
      </c>
      <c r="AK101" s="130">
        <f t="shared" si="93"/>
        <v>396.84183858235673</v>
      </c>
      <c r="AL101" s="130">
        <f t="shared" si="85"/>
        <v>3867.4209950901313</v>
      </c>
      <c r="AM101" s="130">
        <f t="shared" si="86"/>
        <v>2919.041106419026</v>
      </c>
      <c r="AN101" s="130">
        <f t="shared" si="87"/>
        <v>2840.647923027128</v>
      </c>
      <c r="AO101" s="130">
        <f t="shared" si="88"/>
        <v>2808.722933708563</v>
      </c>
      <c r="AP101" s="130">
        <f t="shared" si="89"/>
        <v>3704.3075036630044</v>
      </c>
      <c r="AQ101" s="130">
        <f t="shared" si="90"/>
        <v>3399.9550365474797</v>
      </c>
      <c r="AR101" s="130">
        <f t="shared" si="94"/>
        <v>299.2622639973958</v>
      </c>
      <c r="AS101" s="130">
        <f t="shared" si="95"/>
        <v>159.0849259425757</v>
      </c>
      <c r="AT101" s="130">
        <f t="shared" si="96"/>
        <v>-36.37337358029391</v>
      </c>
      <c r="AU101" s="130">
        <f t="shared" si="97"/>
        <v>180.28737239634665</v>
      </c>
      <c r="AV101" s="130">
        <f t="shared" si="98"/>
        <v>338.7161384354404</v>
      </c>
      <c r="AW101" s="130">
        <f t="shared" si="99"/>
        <v>98.92896113228768</v>
      </c>
      <c r="AX101" s="130">
        <f t="shared" si="100"/>
        <v>1560.545448379232</v>
      </c>
      <c r="AY101" s="130">
        <f t="shared" si="101"/>
        <v>624.1289211607075</v>
      </c>
      <c r="AZ101" s="130">
        <f t="shared" si="102"/>
        <v>2925.318393866296</v>
      </c>
      <c r="BA101" s="130">
        <f t="shared" si="103"/>
        <v>1599.696922757424</v>
      </c>
      <c r="BB101" s="130">
        <f t="shared" si="104"/>
        <v>151.48391230545786</v>
      </c>
      <c r="BC101" s="130">
        <f t="shared" si="105"/>
        <v>1448.2130104519663</v>
      </c>
      <c r="BD101" s="129">
        <f t="shared" si="106"/>
        <v>9275.417652661657</v>
      </c>
      <c r="BE101" s="129">
        <f t="shared" si="57"/>
        <v>203.6855376151144</v>
      </c>
      <c r="BF101" s="130">
        <f t="shared" si="107"/>
        <v>9.657718797327096</v>
      </c>
      <c r="BG101" s="137">
        <f t="shared" si="108"/>
        <v>0.9683633541972705</v>
      </c>
      <c r="BH101" s="47"/>
      <c r="BI101" s="47"/>
      <c r="BJ101" s="47"/>
    </row>
    <row r="102" spans="1:62" ht="16.5" thickBot="1">
      <c r="A102" s="108">
        <f>IF(Data!A102&gt;0,Data!A102,"")</f>
        <v>82</v>
      </c>
      <c r="B102" s="109">
        <f>IF(A102&gt;0,IF(Data!$F$5="lb",Data!B102/2.204,Data!B102),"")</f>
        <v>60.257262629735706</v>
      </c>
      <c r="C102" s="109">
        <f>IF(A102&gt;0,Data!C102,"")</f>
        <v>0.4438817799091339</v>
      </c>
      <c r="D102" s="110">
        <f>IF(A102&gt;0,Data!D102,"")</f>
        <v>27.441471099853516</v>
      </c>
      <c r="E102" s="143">
        <f t="shared" si="58"/>
        <v>-0.28986790377574645</v>
      </c>
      <c r="F102" s="144">
        <f t="shared" si="59"/>
        <v>19.33788130744925</v>
      </c>
      <c r="G102" s="145">
        <f t="shared" si="60"/>
        <v>-8.325530682358831</v>
      </c>
      <c r="H102" s="111">
        <f>IF(A102&gt;0,IF(Data!$F$4="F",(Data!F102-32)/1.8,Data!F102),"")</f>
        <v>123.9945051405165</v>
      </c>
      <c r="I102" s="123">
        <f>IF(A102&gt;0,IF(Data!$F$4="F",(Data!G102-32)/1.8,Data!G102),"")</f>
        <v>26.58685048421224</v>
      </c>
      <c r="J102" s="136">
        <f t="shared" si="61"/>
        <v>0.9853668823738508</v>
      </c>
      <c r="K102" s="128">
        <f t="shared" si="62"/>
        <v>0.8649516606553923</v>
      </c>
      <c r="L102" s="128">
        <f t="shared" si="63"/>
        <v>0.8522947212640888</v>
      </c>
      <c r="M102" s="155">
        <f t="shared" si="64"/>
        <v>4.395547443008007</v>
      </c>
      <c r="N102" s="130">
        <f t="shared" si="65"/>
        <v>60.257262629735706</v>
      </c>
      <c r="O102" s="130">
        <f t="shared" si="66"/>
        <v>48.53239542863994</v>
      </c>
      <c r="P102" s="130">
        <f t="shared" si="56"/>
        <v>54.08088733989372</v>
      </c>
      <c r="Q102" s="130">
        <f t="shared" si="67"/>
        <v>42.852690722758055</v>
      </c>
      <c r="R102" s="129">
        <f t="shared" si="91"/>
        <v>11488.74021467078</v>
      </c>
      <c r="S102" s="130">
        <f t="shared" si="68"/>
        <v>4.166666666666667</v>
      </c>
      <c r="T102" s="130">
        <f t="shared" si="69"/>
        <v>6.6</v>
      </c>
      <c r="U102" s="134">
        <f t="shared" si="92"/>
        <v>2.68125</v>
      </c>
      <c r="V102" s="130">
        <f t="shared" si="70"/>
        <v>19887</v>
      </c>
      <c r="W102" s="130">
        <f t="shared" si="71"/>
        <v>19.17</v>
      </c>
      <c r="X102" s="130">
        <f t="shared" si="72"/>
        <v>80.44017780259618</v>
      </c>
      <c r="Y102" s="130">
        <f t="shared" si="73"/>
        <v>21.336917189017555</v>
      </c>
      <c r="Z102" s="130">
        <f t="shared" si="74"/>
        <v>6.711008457538907</v>
      </c>
      <c r="AA102" s="130">
        <f t="shared" si="75"/>
        <v>21.9919631899128</v>
      </c>
      <c r="AB102" s="130">
        <f t="shared" si="76"/>
        <v>0.0771823599827961</v>
      </c>
      <c r="AC102" s="130">
        <f t="shared" si="77"/>
        <v>0.6677453415251212</v>
      </c>
      <c r="AD102" s="130">
        <f t="shared" si="78"/>
        <v>41.095713280721014</v>
      </c>
      <c r="AE102" s="130">
        <f t="shared" si="79"/>
        <v>-12.468122448212718</v>
      </c>
      <c r="AF102" s="130">
        <f t="shared" si="80"/>
        <v>0.664747100886266</v>
      </c>
      <c r="AG102" s="130">
        <f t="shared" si="81"/>
        <v>0.11558651956524721</v>
      </c>
      <c r="AH102" s="130">
        <f t="shared" si="82"/>
        <v>120.46535228365939</v>
      </c>
      <c r="AI102" s="130">
        <f t="shared" si="83"/>
        <v>32.93465610659815</v>
      </c>
      <c r="AJ102" s="130">
        <f t="shared" si="84"/>
        <v>13.175906470369913</v>
      </c>
      <c r="AK102" s="130">
        <f t="shared" si="93"/>
        <v>397.14450514051646</v>
      </c>
      <c r="AL102" s="130">
        <f t="shared" si="85"/>
        <v>3861.705005711334</v>
      </c>
      <c r="AM102" s="130">
        <f t="shared" si="86"/>
        <v>2914.238909918139</v>
      </c>
      <c r="AN102" s="130">
        <f t="shared" si="87"/>
        <v>2835.855135364846</v>
      </c>
      <c r="AO102" s="130">
        <f t="shared" si="88"/>
        <v>2804.0091059966007</v>
      </c>
      <c r="AP102" s="130">
        <f t="shared" si="89"/>
        <v>3699.9009850596963</v>
      </c>
      <c r="AQ102" s="130">
        <f t="shared" si="90"/>
        <v>3394.180622863067</v>
      </c>
      <c r="AR102" s="130">
        <f t="shared" si="94"/>
        <v>299.7368504842122</v>
      </c>
      <c r="AS102" s="130">
        <f t="shared" si="95"/>
        <v>158.6995216894381</v>
      </c>
      <c r="AT102" s="130">
        <f t="shared" si="96"/>
        <v>-36.33508757220531</v>
      </c>
      <c r="AU102" s="130">
        <f t="shared" si="97"/>
        <v>190.00390280087427</v>
      </c>
      <c r="AV102" s="130">
        <f t="shared" si="98"/>
        <v>337.7859447604693</v>
      </c>
      <c r="AW102" s="130">
        <f t="shared" si="99"/>
        <v>103.31769258772128</v>
      </c>
      <c r="AX102" s="130">
        <f t="shared" si="100"/>
        <v>1559.890065928688</v>
      </c>
      <c r="AY102" s="130">
        <f t="shared" si="101"/>
        <v>624.0528380260804</v>
      </c>
      <c r="AZ102" s="130">
        <f t="shared" si="102"/>
        <v>2937.414878221066</v>
      </c>
      <c r="BA102" s="130">
        <f t="shared" si="103"/>
        <v>1696.9475757324196</v>
      </c>
      <c r="BB102" s="130">
        <f t="shared" si="104"/>
        <v>168.11578980564167</v>
      </c>
      <c r="BC102" s="130">
        <f t="shared" si="105"/>
        <v>1528.831785926778</v>
      </c>
      <c r="BD102" s="129">
        <f t="shared" si="106"/>
        <v>9791.79263893836</v>
      </c>
      <c r="BE102" s="129">
        <f t="shared" si="57"/>
        <v>104.29837747040229</v>
      </c>
      <c r="BF102" s="130">
        <f t="shared" si="107"/>
        <v>10.752702218286318</v>
      </c>
      <c r="BG102" s="137">
        <f t="shared" si="108"/>
        <v>1.0683912068008943</v>
      </c>
      <c r="BH102" s="47"/>
      <c r="BI102" s="47"/>
      <c r="BJ102" s="47"/>
    </row>
    <row r="103" spans="1:62" ht="16.5" thickBot="1">
      <c r="A103" s="108">
        <f>IF(Data!A103&gt;0,Data!A103,"")</f>
        <v>83</v>
      </c>
      <c r="B103" s="109">
        <f>IF(A103&gt;0,IF(Data!$F$5="lb",Data!B103/2.204,Data!B103),"")</f>
        <v>59.29804280968197</v>
      </c>
      <c r="C103" s="109">
        <f>IF(A103&gt;0,Data!C103,"")</f>
        <v>0.4094884991645813</v>
      </c>
      <c r="D103" s="110">
        <f>IF(A103&gt;0,Data!D103,"")</f>
        <v>27.441532135009766</v>
      </c>
      <c r="E103" s="143">
        <f t="shared" si="58"/>
        <v>-0.28899251648391444</v>
      </c>
      <c r="F103" s="144">
        <f t="shared" si="59"/>
        <v>19.33985382444236</v>
      </c>
      <c r="G103" s="145">
        <f t="shared" si="60"/>
        <v>-8.306422560149695</v>
      </c>
      <c r="H103" s="111">
        <f>IF(A103&gt;0,IF(Data!$F$4="F",(Data!F103-32)/1.8,Data!F103),"")</f>
        <v>123.83822123209634</v>
      </c>
      <c r="I103" s="123">
        <f>IF(A103&gt;0,IF(Data!$F$4="F",(Data!G103-32)/1.8,Data!G103),"")</f>
        <v>26.524022420247395</v>
      </c>
      <c r="J103" s="136">
        <f t="shared" si="61"/>
        <v>0.9864148807069321</v>
      </c>
      <c r="K103" s="128">
        <f t="shared" si="62"/>
        <v>0.8650594075861514</v>
      </c>
      <c r="L103" s="128">
        <f t="shared" si="63"/>
        <v>0.853307472338503</v>
      </c>
      <c r="M103" s="155">
        <f t="shared" si="64"/>
        <v>4.402569663537611</v>
      </c>
      <c r="N103" s="130">
        <f t="shared" si="65"/>
        <v>59.29804280968197</v>
      </c>
      <c r="O103" s="130">
        <f t="shared" si="66"/>
        <v>49.35169494941131</v>
      </c>
      <c r="P103" s="130">
        <f t="shared" si="56"/>
        <v>53.28388811426751</v>
      </c>
      <c r="Q103" s="130">
        <f t="shared" si="67"/>
        <v>43.694880329491546</v>
      </c>
      <c r="R103" s="129">
        <f t="shared" si="91"/>
        <v>11458.123655799322</v>
      </c>
      <c r="S103" s="130">
        <f t="shared" si="68"/>
        <v>4.166666666666667</v>
      </c>
      <c r="T103" s="130">
        <f t="shared" si="69"/>
        <v>6.6</v>
      </c>
      <c r="U103" s="134">
        <f t="shared" si="92"/>
        <v>2.68125</v>
      </c>
      <c r="V103" s="130">
        <f t="shared" si="70"/>
        <v>19887</v>
      </c>
      <c r="W103" s="130">
        <f t="shared" si="71"/>
        <v>19.17</v>
      </c>
      <c r="X103" s="130">
        <f t="shared" si="72"/>
        <v>80.45540192597535</v>
      </c>
      <c r="Y103" s="130">
        <f t="shared" si="73"/>
        <v>21.340955418030596</v>
      </c>
      <c r="Z103" s="130">
        <f t="shared" si="74"/>
        <v>6.70157231405959</v>
      </c>
      <c r="AA103" s="130">
        <f t="shared" si="75"/>
        <v>21.970793954248748</v>
      </c>
      <c r="AB103" s="130">
        <f t="shared" si="76"/>
        <v>0.0721973410739487</v>
      </c>
      <c r="AC103" s="130">
        <f t="shared" si="77"/>
        <v>0.6668064452489292</v>
      </c>
      <c r="AD103" s="130">
        <f t="shared" si="78"/>
        <v>41.15366960012724</v>
      </c>
      <c r="AE103" s="130">
        <f t="shared" si="79"/>
        <v>-12.457022002912373</v>
      </c>
      <c r="AF103" s="130">
        <f t="shared" si="80"/>
        <v>0.6141039908690638</v>
      </c>
      <c r="AG103" s="130">
        <f t="shared" si="81"/>
        <v>0.10827331017623311</v>
      </c>
      <c r="AH103" s="130">
        <f t="shared" si="82"/>
        <v>120.6578048236173</v>
      </c>
      <c r="AI103" s="130">
        <f t="shared" si="83"/>
        <v>32.94928252537618</v>
      </c>
      <c r="AJ103" s="130">
        <f t="shared" si="84"/>
        <v>13.175906470369913</v>
      </c>
      <c r="AK103" s="130">
        <f t="shared" si="93"/>
        <v>396.9882212320963</v>
      </c>
      <c r="AL103" s="130">
        <f t="shared" si="85"/>
        <v>3857.690790112665</v>
      </c>
      <c r="AM103" s="130">
        <f t="shared" si="86"/>
        <v>2911.3469489546565</v>
      </c>
      <c r="AN103" s="130">
        <f t="shared" si="87"/>
        <v>2833.0746267612208</v>
      </c>
      <c r="AO103" s="130">
        <f t="shared" si="88"/>
        <v>2801.252754623118</v>
      </c>
      <c r="AP103" s="130">
        <f t="shared" si="89"/>
        <v>3695.754152591464</v>
      </c>
      <c r="AQ103" s="130">
        <f t="shared" si="90"/>
        <v>3390.863373796499</v>
      </c>
      <c r="AR103" s="130">
        <f t="shared" si="94"/>
        <v>299.67402242024735</v>
      </c>
      <c r="AS103" s="130">
        <f t="shared" si="95"/>
        <v>158.75813219575042</v>
      </c>
      <c r="AT103" s="130">
        <f t="shared" si="96"/>
        <v>-36.266713001239964</v>
      </c>
      <c r="AU103" s="130">
        <f t="shared" si="97"/>
        <v>175.52693312273288</v>
      </c>
      <c r="AV103" s="130">
        <f t="shared" si="98"/>
        <v>337.99300812893654</v>
      </c>
      <c r="AW103" s="130">
        <f t="shared" si="99"/>
        <v>96.7802882289336</v>
      </c>
      <c r="AX103" s="130">
        <f t="shared" si="100"/>
        <v>1560.4735186664361</v>
      </c>
      <c r="AY103" s="130">
        <f t="shared" si="101"/>
        <v>624.0091302626404</v>
      </c>
      <c r="AZ103" s="130">
        <f t="shared" si="102"/>
        <v>2917.27429760419</v>
      </c>
      <c r="BA103" s="130">
        <f t="shared" si="103"/>
        <v>1680.8211213271948</v>
      </c>
      <c r="BB103" s="130">
        <f t="shared" si="104"/>
        <v>155.65969815906448</v>
      </c>
      <c r="BC103" s="130">
        <f t="shared" si="105"/>
        <v>1525.1614231681303</v>
      </c>
      <c r="BD103" s="129">
        <f t="shared" si="106"/>
        <v>9777.302534472126</v>
      </c>
      <c r="BE103" s="129">
        <f t="shared" si="57"/>
        <v>215.3231028924003</v>
      </c>
      <c r="BF103" s="130">
        <f t="shared" si="107"/>
        <v>9.907046061101852</v>
      </c>
      <c r="BG103" s="137">
        <f t="shared" si="108"/>
        <v>0.9981265965682056</v>
      </c>
      <c r="BH103" s="47"/>
      <c r="BI103" s="47"/>
      <c r="BJ103" s="47"/>
    </row>
    <row r="104" spans="1:62" ht="16.5" thickBot="1">
      <c r="A104" s="108">
        <f>IF(Data!A104&gt;0,Data!A104,"")</f>
        <v>84</v>
      </c>
      <c r="B104" s="109">
        <f>IF(A104&gt;0,IF(Data!$F$5="lb",Data!B104/2.204,Data!B104),"")</f>
        <v>58.871454422357075</v>
      </c>
      <c r="C104" s="109">
        <f>IF(A104&gt;0,Data!C104,"")</f>
        <v>0.39050576090812683</v>
      </c>
      <c r="D104" s="110">
        <f>IF(A104&gt;0,Data!D104,"")</f>
        <v>27.441776275634766</v>
      </c>
      <c r="E104" s="143">
        <f t="shared" si="58"/>
        <v>-0.2885138175712968</v>
      </c>
      <c r="F104" s="144">
        <f t="shared" si="59"/>
        <v>19.34093042754891</v>
      </c>
      <c r="G104" s="145">
        <f t="shared" si="60"/>
        <v>-8.29609872853992</v>
      </c>
      <c r="H104" s="111">
        <f>IF(A104&gt;0,IF(Data!$F$4="F",(Data!F104-32)/1.8,Data!F104),"")</f>
        <v>123.98761325412326</v>
      </c>
      <c r="I104" s="123">
        <f>IF(A104&gt;0,IF(Data!$F$4="F",(Data!G104-32)/1.8,Data!G104),"")</f>
        <v>26.44707997639974</v>
      </c>
      <c r="J104" s="136">
        <f t="shared" si="61"/>
        <v>0.9869946435385077</v>
      </c>
      <c r="K104" s="128">
        <f t="shared" si="62"/>
        <v>0.8650279415726748</v>
      </c>
      <c r="L104" s="128">
        <f t="shared" si="63"/>
        <v>0.8537779448433713</v>
      </c>
      <c r="M104" s="155">
        <f t="shared" si="64"/>
        <v>4.406421294711313</v>
      </c>
      <c r="N104" s="130">
        <f t="shared" si="65"/>
        <v>58.871454422357075</v>
      </c>
      <c r="O104" s="130">
        <f t="shared" si="66"/>
        <v>49.716057376036666</v>
      </c>
      <c r="P104" s="130">
        <f t="shared" si="56"/>
        <v>52.9285643494176</v>
      </c>
      <c r="Q104" s="130">
        <f t="shared" si="67"/>
        <v>44.07035118587398</v>
      </c>
      <c r="R104" s="129">
        <f t="shared" si="91"/>
        <v>11167.958307179422</v>
      </c>
      <c r="S104" s="130">
        <f t="shared" si="68"/>
        <v>4.166666666666667</v>
      </c>
      <c r="T104" s="130">
        <f t="shared" si="69"/>
        <v>6.6</v>
      </c>
      <c r="U104" s="134">
        <f t="shared" si="92"/>
        <v>2.68125</v>
      </c>
      <c r="V104" s="130">
        <f t="shared" si="70"/>
        <v>19887</v>
      </c>
      <c r="W104" s="130">
        <f t="shared" si="71"/>
        <v>19.17</v>
      </c>
      <c r="X104" s="130">
        <f t="shared" si="72"/>
        <v>80.46381669199702</v>
      </c>
      <c r="Y104" s="130">
        <f t="shared" si="73"/>
        <v>21.343187451458096</v>
      </c>
      <c r="Z104" s="130">
        <f t="shared" si="74"/>
        <v>6.6964148020870535</v>
      </c>
      <c r="AA104" s="130">
        <f t="shared" si="75"/>
        <v>21.95927623591428</v>
      </c>
      <c r="AB104" s="130">
        <f t="shared" si="76"/>
        <v>0.06944630548649755</v>
      </c>
      <c r="AC104" s="130">
        <f t="shared" si="77"/>
        <v>0.6662932728076618</v>
      </c>
      <c r="AD104" s="130">
        <f t="shared" si="78"/>
        <v>41.18573216265438</v>
      </c>
      <c r="AE104" s="130">
        <f t="shared" si="79"/>
        <v>-12.451121851465468</v>
      </c>
      <c r="AF104" s="130">
        <f t="shared" si="80"/>
        <v>0.5860869032379585</v>
      </c>
      <c r="AG104" s="130">
        <f t="shared" si="81"/>
        <v>0.10422783528019282</v>
      </c>
      <c r="AH104" s="130">
        <f t="shared" si="82"/>
        <v>120.76336348547291</v>
      </c>
      <c r="AI104" s="130">
        <f t="shared" si="83"/>
        <v>32.957373475168254</v>
      </c>
      <c r="AJ104" s="130">
        <f t="shared" si="84"/>
        <v>13.175906470369913</v>
      </c>
      <c r="AK104" s="130">
        <f t="shared" si="93"/>
        <v>397.13761325412327</v>
      </c>
      <c r="AL104" s="130">
        <f t="shared" si="85"/>
        <v>3866.7655192205007</v>
      </c>
      <c r="AM104" s="130">
        <f t="shared" si="86"/>
        <v>2918.149993132576</v>
      </c>
      <c r="AN104" s="130">
        <f t="shared" si="87"/>
        <v>2839.683610775757</v>
      </c>
      <c r="AO104" s="130">
        <f t="shared" si="88"/>
        <v>2807.7898469981365</v>
      </c>
      <c r="AP104" s="130">
        <f t="shared" si="89"/>
        <v>3704.5476490351293</v>
      </c>
      <c r="AQ104" s="130">
        <f t="shared" si="90"/>
        <v>3398.770022535489</v>
      </c>
      <c r="AR104" s="130">
        <f t="shared" si="94"/>
        <v>299.5970799763997</v>
      </c>
      <c r="AS104" s="130">
        <f t="shared" si="95"/>
        <v>159.25556901040275</v>
      </c>
      <c r="AT104" s="130">
        <f t="shared" si="96"/>
        <v>-36.33424114534682</v>
      </c>
      <c r="AU104" s="130">
        <f t="shared" si="97"/>
        <v>167.52279238163476</v>
      </c>
      <c r="AV104" s="130">
        <f t="shared" si="98"/>
        <v>339.07814588385634</v>
      </c>
      <c r="AW104" s="130">
        <f t="shared" si="99"/>
        <v>93.16514992382658</v>
      </c>
      <c r="AX104" s="130">
        <f t="shared" si="100"/>
        <v>1561.117287318581</v>
      </c>
      <c r="AY104" s="130">
        <f t="shared" si="101"/>
        <v>624.1133075269194</v>
      </c>
      <c r="AZ104" s="130">
        <f t="shared" si="102"/>
        <v>2907.918010899874</v>
      </c>
      <c r="BA104" s="130">
        <f t="shared" si="103"/>
        <v>1633.0018155793186</v>
      </c>
      <c r="BB104" s="130">
        <f t="shared" si="104"/>
        <v>145.24301678248437</v>
      </c>
      <c r="BC104" s="130">
        <f t="shared" si="105"/>
        <v>1487.7587987968343</v>
      </c>
      <c r="BD104" s="129">
        <f t="shared" si="106"/>
        <v>9534.956491600104</v>
      </c>
      <c r="BE104" s="129">
        <f t="shared" si="57"/>
        <v>91.90005874126525</v>
      </c>
      <c r="BF104" s="130">
        <f t="shared" si="107"/>
        <v>9.215619992601791</v>
      </c>
      <c r="BG104" s="137">
        <f t="shared" si="108"/>
        <v>0.9365009253134272</v>
      </c>
      <c r="BH104" s="47"/>
      <c r="BI104" s="47"/>
      <c r="BJ104" s="47"/>
    </row>
    <row r="105" spans="1:62" ht="16.5" thickBot="1">
      <c r="A105" s="108">
        <f>IF(Data!A105&gt;0,Data!A105,"")</f>
        <v>85</v>
      </c>
      <c r="B105" s="109">
        <f>IF(A105&gt;0,IF(Data!$F$5="lb",Data!B105/2.204,Data!B105),"")</f>
        <v>57.95182506748206</v>
      </c>
      <c r="C105" s="109">
        <f>IF(A105&gt;0,Data!C105,"")</f>
        <v>0.3669632375240326</v>
      </c>
      <c r="D105" s="110">
        <f>IF(A105&gt;0,Data!D105,"")</f>
        <v>27.44156265258789</v>
      </c>
      <c r="E105" s="143">
        <f t="shared" si="58"/>
        <v>-0.28790601225287826</v>
      </c>
      <c r="F105" s="144">
        <f t="shared" si="59"/>
        <v>19.342295307757674</v>
      </c>
      <c r="G105" s="145">
        <f t="shared" si="60"/>
        <v>-8.282748963592233</v>
      </c>
      <c r="H105" s="111">
        <f>IF(A105&gt;0,IF(Data!$F$4="F",(Data!F105-32)/1.8,Data!F105),"")</f>
        <v>124.06790839301215</v>
      </c>
      <c r="I105" s="123">
        <f>IF(A105&gt;0,IF(Data!$F$4="F",(Data!G105-32)/1.8,Data!G105),"")</f>
        <v>26.325488620334202</v>
      </c>
      <c r="J105" s="136">
        <f t="shared" si="61"/>
        <v>0.987714741605331</v>
      </c>
      <c r="K105" s="128">
        <f t="shared" si="62"/>
        <v>0.8650147567799665</v>
      </c>
      <c r="L105" s="128">
        <f t="shared" si="63"/>
        <v>0.854387826977723</v>
      </c>
      <c r="M105" s="155">
        <f t="shared" si="64"/>
        <v>4.411286597737197</v>
      </c>
      <c r="N105" s="130">
        <f t="shared" si="65"/>
        <v>57.95182506748206</v>
      </c>
      <c r="O105" s="130">
        <f t="shared" si="66"/>
        <v>50.501541447554466</v>
      </c>
      <c r="P105" s="130">
        <f t="shared" si="56"/>
        <v>52.160746533618905</v>
      </c>
      <c r="Q105" s="130">
        <f t="shared" si="67"/>
        <v>44.88170477761982</v>
      </c>
      <c r="R105" s="129">
        <f t="shared" si="91"/>
        <v>11218.997721318012</v>
      </c>
      <c r="S105" s="130">
        <f t="shared" si="68"/>
        <v>4.166666666666667</v>
      </c>
      <c r="T105" s="130">
        <f t="shared" si="69"/>
        <v>6.6</v>
      </c>
      <c r="U105" s="134">
        <f t="shared" si="92"/>
        <v>2.68125</v>
      </c>
      <c r="V105" s="130">
        <f t="shared" si="70"/>
        <v>19887</v>
      </c>
      <c r="W105" s="130">
        <f t="shared" si="71"/>
        <v>19.17</v>
      </c>
      <c r="X105" s="130">
        <f t="shared" si="72"/>
        <v>80.47422307348032</v>
      </c>
      <c r="Y105" s="130">
        <f t="shared" si="73"/>
        <v>21.34594776484889</v>
      </c>
      <c r="Z105" s="130">
        <f t="shared" si="74"/>
        <v>6.68989427375098</v>
      </c>
      <c r="AA105" s="130">
        <f t="shared" si="75"/>
        <v>21.944583935677244</v>
      </c>
      <c r="AB105" s="130">
        <f t="shared" si="76"/>
        <v>0.06603358385049418</v>
      </c>
      <c r="AC105" s="130">
        <f t="shared" si="77"/>
        <v>0.6656444802382225</v>
      </c>
      <c r="AD105" s="130">
        <f t="shared" si="78"/>
        <v>41.225554282020084</v>
      </c>
      <c r="AE105" s="130">
        <f t="shared" si="79"/>
        <v>-12.443202354247694</v>
      </c>
      <c r="AF105" s="130">
        <f t="shared" si="80"/>
        <v>0.551290138232203</v>
      </c>
      <c r="AG105" s="130">
        <f t="shared" si="81"/>
        <v>0.09920248092023826</v>
      </c>
      <c r="AH105" s="130">
        <f t="shared" si="82"/>
        <v>120.89670306389381</v>
      </c>
      <c r="AI105" s="130">
        <f t="shared" si="83"/>
        <v>32.96742418388816</v>
      </c>
      <c r="AJ105" s="130">
        <f t="shared" si="84"/>
        <v>13.175906470369913</v>
      </c>
      <c r="AK105" s="130">
        <f t="shared" si="93"/>
        <v>397.2179083930121</v>
      </c>
      <c r="AL105" s="130">
        <f t="shared" si="85"/>
        <v>3874.7103078090117</v>
      </c>
      <c r="AM105" s="130">
        <f t="shared" si="86"/>
        <v>2924.1717294386517</v>
      </c>
      <c r="AN105" s="130">
        <f t="shared" si="87"/>
        <v>2845.549801563926</v>
      </c>
      <c r="AO105" s="130">
        <f t="shared" si="88"/>
        <v>2813.58881410489</v>
      </c>
      <c r="AP105" s="130">
        <f t="shared" si="89"/>
        <v>3712.1021926056146</v>
      </c>
      <c r="AQ105" s="130">
        <f t="shared" si="90"/>
        <v>3405.7931919320586</v>
      </c>
      <c r="AR105" s="130">
        <f t="shared" si="94"/>
        <v>299.4754886203342</v>
      </c>
      <c r="AS105" s="130">
        <f t="shared" si="95"/>
        <v>159.73708012168316</v>
      </c>
      <c r="AT105" s="130">
        <f t="shared" si="96"/>
        <v>-36.38606054797558</v>
      </c>
      <c r="AU105" s="130">
        <f t="shared" si="97"/>
        <v>157.5799736321966</v>
      </c>
      <c r="AV105" s="130">
        <f t="shared" si="98"/>
        <v>340.153611402732</v>
      </c>
      <c r="AW105" s="130">
        <f t="shared" si="99"/>
        <v>88.67393335297155</v>
      </c>
      <c r="AX105" s="130">
        <f t="shared" si="100"/>
        <v>1561.8249027824013</v>
      </c>
      <c r="AY105" s="130">
        <f t="shared" si="101"/>
        <v>624.2058441500142</v>
      </c>
      <c r="AZ105" s="130">
        <f t="shared" si="102"/>
        <v>2895.789284894023</v>
      </c>
      <c r="BA105" s="130">
        <f t="shared" si="103"/>
        <v>1633.6226373330899</v>
      </c>
      <c r="BB105" s="130">
        <f t="shared" si="104"/>
        <v>137.82803473888652</v>
      </c>
      <c r="BC105" s="130">
        <f t="shared" si="105"/>
        <v>1495.7946025942033</v>
      </c>
      <c r="BD105" s="129">
        <f t="shared" si="106"/>
        <v>9585.375083984922</v>
      </c>
      <c r="BE105" s="129">
        <f t="shared" si="57"/>
        <v>187.5908943921613</v>
      </c>
      <c r="BF105" s="130">
        <f t="shared" si="107"/>
        <v>8.708092649929148</v>
      </c>
      <c r="BG105" s="137">
        <f t="shared" si="108"/>
        <v>0.895421054874639</v>
      </c>
      <c r="BH105" s="47"/>
      <c r="BI105" s="47"/>
      <c r="BJ105" s="47"/>
    </row>
    <row r="106" spans="1:62" ht="16.5" thickBot="1">
      <c r="A106" s="108">
        <f>IF(Data!A106&gt;0,Data!A106,"")</f>
        <v>86</v>
      </c>
      <c r="B106" s="109">
        <f>IF(A106&gt;0,IF(Data!$F$5="lb",Data!B106/2.204,Data!B106),"")</f>
        <v>57.52111389935557</v>
      </c>
      <c r="C106" s="109">
        <f>IF(A106&gt;0,Data!C106,"")</f>
        <v>0.40127116441726685</v>
      </c>
      <c r="D106" s="110">
        <f>IF(A106&gt;0,Data!D106,"")</f>
        <v>27.441959381103516</v>
      </c>
      <c r="E106" s="143">
        <f t="shared" si="58"/>
        <v>-0.2887935880111252</v>
      </c>
      <c r="F106" s="144">
        <f t="shared" si="59"/>
        <v>19.34030139441583</v>
      </c>
      <c r="G106" s="145">
        <f t="shared" si="60"/>
        <v>-8.302293568896317</v>
      </c>
      <c r="H106" s="111">
        <f>IF(A106&gt;0,IF(Data!$F$4="F",(Data!F106-32)/1.8,Data!F106),"")</f>
        <v>124.09309387207031</v>
      </c>
      <c r="I106" s="123">
        <f>IF(A106&gt;0,IF(Data!$F$4="F",(Data!G106-32)/1.8,Data!G106),"")</f>
        <v>26.35075463189019</v>
      </c>
      <c r="J106" s="136">
        <f t="shared" si="61"/>
        <v>0.9866658590859366</v>
      </c>
      <c r="K106" s="128">
        <f t="shared" si="62"/>
        <v>0.8649387229941378</v>
      </c>
      <c r="L106" s="128">
        <f t="shared" si="63"/>
        <v>0.853405508179704</v>
      </c>
      <c r="M106" s="155">
        <f t="shared" si="64"/>
        <v>4.404186438210678</v>
      </c>
      <c r="N106" s="130">
        <f t="shared" si="65"/>
        <v>57.52111389935557</v>
      </c>
      <c r="O106" s="130">
        <f t="shared" si="66"/>
        <v>50.86942526965599</v>
      </c>
      <c r="P106" s="130">
        <f t="shared" si="56"/>
        <v>51.80028982622978</v>
      </c>
      <c r="Q106" s="130">
        <f t="shared" si="67"/>
        <v>45.2625996177647</v>
      </c>
      <c r="R106" s="129">
        <f t="shared" si="91"/>
        <v>11470.49389734497</v>
      </c>
      <c r="S106" s="130">
        <f t="shared" si="68"/>
        <v>4.166666666666667</v>
      </c>
      <c r="T106" s="130">
        <f t="shared" si="69"/>
        <v>6.6</v>
      </c>
      <c r="U106" s="134">
        <f t="shared" si="92"/>
        <v>2.68125</v>
      </c>
      <c r="V106" s="130">
        <f t="shared" si="70"/>
        <v>19887</v>
      </c>
      <c r="W106" s="130">
        <f t="shared" si="71"/>
        <v>19.17</v>
      </c>
      <c r="X106" s="130">
        <f t="shared" si="72"/>
        <v>80.45906302337553</v>
      </c>
      <c r="Y106" s="130">
        <f t="shared" si="73"/>
        <v>21.341926531399345</v>
      </c>
      <c r="Z106" s="130">
        <f t="shared" si="74"/>
        <v>6.699417011124973</v>
      </c>
      <c r="AA106" s="130">
        <f t="shared" si="75"/>
        <v>21.96606213504586</v>
      </c>
      <c r="AB106" s="130">
        <f t="shared" si="76"/>
        <v>0.07100700083327638</v>
      </c>
      <c r="AC106" s="130">
        <f t="shared" si="77"/>
        <v>0.6665919926069348</v>
      </c>
      <c r="AD106" s="130">
        <f t="shared" si="78"/>
        <v>41.16755029381976</v>
      </c>
      <c r="AE106" s="130">
        <f t="shared" si="79"/>
        <v>-12.454835433032091</v>
      </c>
      <c r="AF106" s="130">
        <f t="shared" si="80"/>
        <v>0.6019741744090855</v>
      </c>
      <c r="AG106" s="130">
        <f t="shared" si="81"/>
        <v>0.1065224329436952</v>
      </c>
      <c r="AH106" s="130">
        <f t="shared" si="82"/>
        <v>120.70211451042637</v>
      </c>
      <c r="AI106" s="130">
        <f t="shared" si="83"/>
        <v>32.952784279841254</v>
      </c>
      <c r="AJ106" s="130">
        <f t="shared" si="84"/>
        <v>13.175906470369913</v>
      </c>
      <c r="AK106" s="130">
        <f t="shared" si="93"/>
        <v>397.2430938720703</v>
      </c>
      <c r="AL106" s="130">
        <f t="shared" si="85"/>
        <v>3874.7786184126708</v>
      </c>
      <c r="AM106" s="130">
        <f t="shared" si="86"/>
        <v>2924.1915107484265</v>
      </c>
      <c r="AN106" s="130">
        <f t="shared" si="87"/>
        <v>2845.561264532924</v>
      </c>
      <c r="AO106" s="130">
        <f t="shared" si="88"/>
        <v>2813.6017827813826</v>
      </c>
      <c r="AP106" s="130">
        <f t="shared" si="89"/>
        <v>3712.237209016884</v>
      </c>
      <c r="AQ106" s="130">
        <f t="shared" si="90"/>
        <v>3405.8044398644297</v>
      </c>
      <c r="AR106" s="130">
        <f t="shared" si="94"/>
        <v>299.5007546318902</v>
      </c>
      <c r="AS106" s="130">
        <f t="shared" si="95"/>
        <v>159.51514365092106</v>
      </c>
      <c r="AT106" s="130">
        <f t="shared" si="96"/>
        <v>-36.42032404104115</v>
      </c>
      <c r="AU106" s="130">
        <f t="shared" si="97"/>
        <v>172.067431931498</v>
      </c>
      <c r="AV106" s="130">
        <f t="shared" si="98"/>
        <v>339.60768457201823</v>
      </c>
      <c r="AW106" s="130">
        <f t="shared" si="99"/>
        <v>95.21701935859654</v>
      </c>
      <c r="AX106" s="130">
        <f t="shared" si="100"/>
        <v>1561.1317110065181</v>
      </c>
      <c r="AY106" s="130">
        <f t="shared" si="101"/>
        <v>624.205992351719</v>
      </c>
      <c r="AZ106" s="130">
        <f t="shared" si="102"/>
        <v>2915.32465883023</v>
      </c>
      <c r="BA106" s="130">
        <f t="shared" si="103"/>
        <v>1681.5112238090942</v>
      </c>
      <c r="BB106" s="130">
        <f t="shared" si="104"/>
        <v>152.94890735670813</v>
      </c>
      <c r="BC106" s="130">
        <f t="shared" si="105"/>
        <v>1528.562316452386</v>
      </c>
      <c r="BD106" s="129">
        <f t="shared" si="106"/>
        <v>9788.982673535877</v>
      </c>
      <c r="BE106" s="129">
        <f t="shared" si="57"/>
        <v>95.584489595057</v>
      </c>
      <c r="BF106" s="130">
        <f t="shared" si="107"/>
        <v>9.72184596116676</v>
      </c>
      <c r="BG106" s="137">
        <f t="shared" si="108"/>
        <v>0.9830461443242275</v>
      </c>
      <c r="BH106" s="47"/>
      <c r="BI106" s="47"/>
      <c r="BJ106" s="47"/>
    </row>
    <row r="107" spans="1:62" ht="16.5" thickBot="1">
      <c r="A107" s="108">
        <f>IF(Data!A107&gt;0,Data!A107,"")</f>
        <v>87</v>
      </c>
      <c r="B107" s="109">
        <f>IF(A107&gt;0,IF(Data!$F$5="lb",Data!B107/2.204,Data!B107),"")</f>
        <v>56.57566091326317</v>
      </c>
      <c r="C107" s="109">
        <f>IF(A107&gt;0,Data!C107,"")</f>
        <v>0.41488948464393616</v>
      </c>
      <c r="D107" s="110">
        <f>IF(A107&gt;0,Data!D107,"")</f>
        <v>27.44156265258789</v>
      </c>
      <c r="E107" s="143">
        <f t="shared" si="58"/>
        <v>-0.2891311500508017</v>
      </c>
      <c r="F107" s="144">
        <f t="shared" si="59"/>
        <v>19.339541764106798</v>
      </c>
      <c r="G107" s="145">
        <f t="shared" si="60"/>
        <v>-8.30946563080306</v>
      </c>
      <c r="H107" s="111">
        <f>IF(A107&gt;0,IF(Data!$F$4="F",(Data!F107-32)/1.8,Data!F107),"")</f>
        <v>124.27161322699652</v>
      </c>
      <c r="I107" s="123">
        <f>IF(A107&gt;0,IF(Data!$F$4="F",(Data!G107-32)/1.8,Data!G107),"")</f>
        <v>26.414900885687935</v>
      </c>
      <c r="J107" s="136">
        <f t="shared" si="61"/>
        <v>0.9862501271282684</v>
      </c>
      <c r="K107" s="128">
        <f t="shared" si="62"/>
        <v>0.8648698357364134</v>
      </c>
      <c r="L107" s="128">
        <f t="shared" si="63"/>
        <v>0.8529779854444424</v>
      </c>
      <c r="M107" s="155">
        <f t="shared" si="64"/>
        <v>4.401459408670514</v>
      </c>
      <c r="N107" s="130">
        <f t="shared" si="65"/>
        <v>56.57566091326317</v>
      </c>
      <c r="O107" s="130">
        <f t="shared" si="66"/>
        <v>51.676966108807925</v>
      </c>
      <c r="P107" s="130">
        <f t="shared" si="56"/>
        <v>51.00717949008847</v>
      </c>
      <c r="Q107" s="130">
        <f t="shared" si="67"/>
        <v>46.10067983241774</v>
      </c>
      <c r="R107" s="129">
        <f t="shared" si="91"/>
        <v>15157.266085687505</v>
      </c>
      <c r="S107" s="130">
        <f t="shared" si="68"/>
        <v>4.166666666666667</v>
      </c>
      <c r="T107" s="130">
        <f t="shared" si="69"/>
        <v>6.6</v>
      </c>
      <c r="U107" s="134">
        <f t="shared" si="92"/>
        <v>2.68125</v>
      </c>
      <c r="V107" s="130">
        <f t="shared" si="70"/>
        <v>19887</v>
      </c>
      <c r="W107" s="130">
        <f t="shared" si="71"/>
        <v>19.17</v>
      </c>
      <c r="X107" s="130">
        <f t="shared" si="72"/>
        <v>80.45301349357123</v>
      </c>
      <c r="Y107" s="130">
        <f t="shared" si="73"/>
        <v>21.340321881583883</v>
      </c>
      <c r="Z107" s="130">
        <f t="shared" si="74"/>
        <v>6.7030637696366595</v>
      </c>
      <c r="AA107" s="130">
        <f t="shared" si="75"/>
        <v>21.974149967292462</v>
      </c>
      <c r="AB107" s="130">
        <f t="shared" si="76"/>
        <v>0.07298023625425643</v>
      </c>
      <c r="AC107" s="130">
        <f t="shared" si="77"/>
        <v>0.6669548450788476</v>
      </c>
      <c r="AD107" s="130">
        <f t="shared" si="78"/>
        <v>41.144558518566186</v>
      </c>
      <c r="AE107" s="130">
        <f t="shared" si="79"/>
        <v>-12.458812904823734</v>
      </c>
      <c r="AF107" s="130">
        <f t="shared" si="80"/>
        <v>0.6220653282680446</v>
      </c>
      <c r="AG107" s="130">
        <f t="shared" si="81"/>
        <v>0.10942305433830184</v>
      </c>
      <c r="AH107" s="130">
        <f t="shared" si="82"/>
        <v>120.62737693143237</v>
      </c>
      <c r="AI107" s="130">
        <f t="shared" si="83"/>
        <v>32.946983037052036</v>
      </c>
      <c r="AJ107" s="130">
        <f t="shared" si="84"/>
        <v>13.175906470369913</v>
      </c>
      <c r="AK107" s="130">
        <f t="shared" si="93"/>
        <v>397.4216132269965</v>
      </c>
      <c r="AL107" s="130">
        <f t="shared" si="85"/>
        <v>3879.657010413053</v>
      </c>
      <c r="AM107" s="130">
        <f t="shared" si="86"/>
        <v>2927.72010960276</v>
      </c>
      <c r="AN107" s="130">
        <f t="shared" si="87"/>
        <v>2848.957485303054</v>
      </c>
      <c r="AO107" s="130">
        <f t="shared" si="88"/>
        <v>2816.9677301333013</v>
      </c>
      <c r="AP107" s="130">
        <f t="shared" si="89"/>
        <v>3717.24598054061</v>
      </c>
      <c r="AQ107" s="130">
        <f t="shared" si="90"/>
        <v>3409.857415952354</v>
      </c>
      <c r="AR107" s="130">
        <f t="shared" si="94"/>
        <v>299.5649008856879</v>
      </c>
      <c r="AS107" s="130">
        <f t="shared" si="95"/>
        <v>159.6267748969054</v>
      </c>
      <c r="AT107" s="130">
        <f t="shared" si="96"/>
        <v>-36.475917083230826</v>
      </c>
      <c r="AU107" s="130">
        <f t="shared" si="97"/>
        <v>177.81237111587552</v>
      </c>
      <c r="AV107" s="130">
        <f t="shared" si="98"/>
        <v>339.8034281864712</v>
      </c>
      <c r="AW107" s="130">
        <f t="shared" si="99"/>
        <v>97.81034076648295</v>
      </c>
      <c r="AX107" s="130">
        <f t="shared" si="100"/>
        <v>1560.9904115982893</v>
      </c>
      <c r="AY107" s="130">
        <f t="shared" si="101"/>
        <v>624.2593939855802</v>
      </c>
      <c r="AZ107" s="130">
        <f t="shared" si="102"/>
        <v>2923.826803466374</v>
      </c>
      <c r="BA107" s="130">
        <f t="shared" si="103"/>
        <v>2228.4517950724075</v>
      </c>
      <c r="BB107" s="130">
        <f t="shared" si="104"/>
        <v>208.41010955110215</v>
      </c>
      <c r="BC107" s="130">
        <f t="shared" si="105"/>
        <v>2020.0416855213055</v>
      </c>
      <c r="BD107" s="129">
        <f t="shared" si="106"/>
        <v>12928.814290615097</v>
      </c>
      <c r="BE107" s="129">
        <f t="shared" si="57"/>
        <v>216.87104211262758</v>
      </c>
      <c r="BF107" s="130">
        <f t="shared" si="107"/>
        <v>13.275339251304889</v>
      </c>
      <c r="BG107" s="137">
        <f t="shared" si="108"/>
        <v>1.3343827429088617</v>
      </c>
      <c r="BH107" s="47"/>
      <c r="BI107" s="47"/>
      <c r="BJ107" s="47"/>
    </row>
    <row r="108" spans="1:62" ht="16.5" thickBot="1">
      <c r="A108" s="108">
        <f>IF(Data!A108&gt;0,Data!A108,"")</f>
        <v>88</v>
      </c>
      <c r="B108" s="109">
        <f>IF(A108&gt;0,IF(Data!$F$5="lb",Data!B108/2.204,Data!B108),"")</f>
        <v>55.706650721832105</v>
      </c>
      <c r="C108" s="109">
        <f>IF(A108&gt;0,Data!C108,"")</f>
        <v>0.3669632375240326</v>
      </c>
      <c r="D108" s="110">
        <f>IF(A108&gt;0,Data!D108,"")</f>
        <v>27.44168472290039</v>
      </c>
      <c r="E108" s="143">
        <f t="shared" si="58"/>
        <v>-0.2879091380983253</v>
      </c>
      <c r="F108" s="144">
        <f t="shared" si="59"/>
        <v>19.342288294357832</v>
      </c>
      <c r="G108" s="145">
        <f t="shared" si="60"/>
        <v>-8.282878047304575</v>
      </c>
      <c r="H108" s="111">
        <f>IF(A108&gt;0,IF(Data!$F$4="F",(Data!F108-32)/1.8,Data!F108),"")</f>
        <v>124.27748786078558</v>
      </c>
      <c r="I108" s="123">
        <f>IF(A108&gt;0,IF(Data!$F$4="F",(Data!G108-32)/1.8,Data!G108),"")</f>
        <v>26.11138661702474</v>
      </c>
      <c r="J108" s="136">
        <f t="shared" si="61"/>
        <v>0.987714781694805</v>
      </c>
      <c r="K108" s="128">
        <f t="shared" si="62"/>
        <v>0.8648774887211715</v>
      </c>
      <c r="L108" s="128">
        <f t="shared" si="63"/>
        <v>0.8542522799649831</v>
      </c>
      <c r="M108" s="155">
        <f t="shared" si="64"/>
        <v>4.411267631558032</v>
      </c>
      <c r="N108" s="130">
        <f t="shared" si="65"/>
        <v>55.706650721832105</v>
      </c>
      <c r="O108" s="130">
        <f t="shared" si="66"/>
        <v>52.419214776423054</v>
      </c>
      <c r="P108" s="130">
        <f t="shared" si="56"/>
        <v>50.27595070160691</v>
      </c>
      <c r="Q108" s="130">
        <f t="shared" si="67"/>
        <v>46.87336977489495</v>
      </c>
      <c r="R108" s="129">
        <f t="shared" si="91"/>
        <v>10925.944479506914</v>
      </c>
      <c r="S108" s="130">
        <f t="shared" si="68"/>
        <v>4.166666666666667</v>
      </c>
      <c r="T108" s="130">
        <f t="shared" si="69"/>
        <v>6.6</v>
      </c>
      <c r="U108" s="134">
        <f t="shared" si="92"/>
        <v>2.68125</v>
      </c>
      <c r="V108" s="130">
        <f t="shared" si="70"/>
        <v>19887</v>
      </c>
      <c r="W108" s="130">
        <f t="shared" si="71"/>
        <v>19.17</v>
      </c>
      <c r="X108" s="130">
        <f t="shared" si="72"/>
        <v>80.47423008688015</v>
      </c>
      <c r="Y108" s="130">
        <f t="shared" si="73"/>
        <v>21.34594962516715</v>
      </c>
      <c r="Z108" s="130">
        <f t="shared" si="74"/>
        <v>6.689923619884012</v>
      </c>
      <c r="AA108" s="130">
        <f t="shared" si="75"/>
        <v>21.94468036743265</v>
      </c>
      <c r="AB108" s="130">
        <f t="shared" si="76"/>
        <v>0.06603378909229463</v>
      </c>
      <c r="AC108" s="130">
        <f t="shared" si="77"/>
        <v>0.6656474001784591</v>
      </c>
      <c r="AD108" s="130">
        <f t="shared" si="78"/>
        <v>41.225556827148</v>
      </c>
      <c r="AE108" s="130">
        <f t="shared" si="79"/>
        <v>-12.443341692739951</v>
      </c>
      <c r="AF108" s="130">
        <f t="shared" si="80"/>
        <v>0.5512877199334817</v>
      </c>
      <c r="AG108" s="130">
        <f t="shared" si="81"/>
        <v>0.0992023540910564</v>
      </c>
      <c r="AH108" s="130">
        <f t="shared" si="82"/>
        <v>120.8961832725631</v>
      </c>
      <c r="AI108" s="130">
        <f t="shared" si="83"/>
        <v>32.96742443754653</v>
      </c>
      <c r="AJ108" s="130">
        <f t="shared" si="84"/>
        <v>13.175906470369913</v>
      </c>
      <c r="AK108" s="130">
        <f t="shared" si="93"/>
        <v>397.42748786078556</v>
      </c>
      <c r="AL108" s="130">
        <f t="shared" si="85"/>
        <v>3891.4994742578583</v>
      </c>
      <c r="AM108" s="130">
        <f t="shared" si="86"/>
        <v>2936.845061153661</v>
      </c>
      <c r="AN108" s="130">
        <f t="shared" si="87"/>
        <v>2857.8830876277257</v>
      </c>
      <c r="AO108" s="130">
        <f t="shared" si="88"/>
        <v>2825.7834265372876</v>
      </c>
      <c r="AP108" s="130">
        <f t="shared" si="89"/>
        <v>3728.1805125204414</v>
      </c>
      <c r="AQ108" s="130">
        <f t="shared" si="90"/>
        <v>3420.5549279428014</v>
      </c>
      <c r="AR108" s="130">
        <f t="shared" si="94"/>
        <v>299.2613866170247</v>
      </c>
      <c r="AS108" s="130">
        <f t="shared" si="95"/>
        <v>160.4292327188339</v>
      </c>
      <c r="AT108" s="130">
        <f t="shared" si="96"/>
        <v>-36.54416659457076</v>
      </c>
      <c r="AU108" s="130">
        <f t="shared" si="97"/>
        <v>157.5860815783505</v>
      </c>
      <c r="AV108" s="130">
        <f t="shared" si="98"/>
        <v>341.6264310232233</v>
      </c>
      <c r="AW108" s="130">
        <f t="shared" si="99"/>
        <v>88.67541499159684</v>
      </c>
      <c r="AX108" s="130">
        <f t="shared" si="100"/>
        <v>1562.3115712159154</v>
      </c>
      <c r="AY108" s="130">
        <f t="shared" si="101"/>
        <v>624.400343403032</v>
      </c>
      <c r="AZ108" s="130">
        <f t="shared" si="102"/>
        <v>2898.484908336381</v>
      </c>
      <c r="BA108" s="130">
        <f t="shared" si="103"/>
        <v>1592.4314971173121</v>
      </c>
      <c r="BB108" s="130">
        <f t="shared" si="104"/>
        <v>134.22736848614989</v>
      </c>
      <c r="BC108" s="130">
        <f t="shared" si="105"/>
        <v>1458.2041286311623</v>
      </c>
      <c r="BD108" s="129">
        <f t="shared" si="106"/>
        <v>9333.512982389602</v>
      </c>
      <c r="BE108" s="129">
        <f t="shared" si="57"/>
        <v>178.65099245216317</v>
      </c>
      <c r="BF108" s="130">
        <f t="shared" si="107"/>
        <v>8.480589961601096</v>
      </c>
      <c r="BG108" s="137">
        <f t="shared" si="108"/>
        <v>0.8720305027688583</v>
      </c>
      <c r="BH108" s="47"/>
      <c r="BI108" s="47"/>
      <c r="BJ108" s="47"/>
    </row>
    <row r="109" spans="1:62" ht="16.5" thickBot="1">
      <c r="A109" s="108">
        <f>IF(Data!A109&gt;0,Data!A109,"")</f>
        <v>89</v>
      </c>
      <c r="B109" s="109">
        <f>IF(A109&gt;0,IF(Data!$F$5="lb",Data!B109/2.204,Data!B109),"")</f>
        <v>55.270767904236614</v>
      </c>
      <c r="C109" s="109">
        <f>IF(A109&gt;0,Data!C109,"")</f>
        <v>0.3722423315048218</v>
      </c>
      <c r="D109" s="110">
        <f>IF(A109&gt;0,Data!D109,"")</f>
        <v>27.441471099853516</v>
      </c>
      <c r="E109" s="143">
        <f t="shared" si="58"/>
        <v>-0.28803882504473644</v>
      </c>
      <c r="F109" s="144">
        <f t="shared" si="59"/>
        <v>19.341997263948258</v>
      </c>
      <c r="G109" s="145">
        <f t="shared" si="60"/>
        <v>-8.285595001657668</v>
      </c>
      <c r="H109" s="111">
        <f>IF(A109&gt;0,IF(Data!$F$4="F",(Data!F109-32)/1.8,Data!F109),"")</f>
        <v>124.22762552897134</v>
      </c>
      <c r="I109" s="123">
        <f>IF(A109&gt;0,IF(Data!$F$4="F",(Data!G109-32)/1.8,Data!G109),"")</f>
        <v>26.23212178548177</v>
      </c>
      <c r="J109" s="136">
        <f t="shared" si="61"/>
        <v>0.9875531006413572</v>
      </c>
      <c r="K109" s="128">
        <f t="shared" si="62"/>
        <v>0.8649205465404178</v>
      </c>
      <c r="L109" s="128">
        <f t="shared" si="63"/>
        <v>0.8541549675444068</v>
      </c>
      <c r="M109" s="155">
        <f t="shared" si="64"/>
        <v>4.4102164515135165</v>
      </c>
      <c r="N109" s="130">
        <f t="shared" si="65"/>
        <v>55.270767904236614</v>
      </c>
      <c r="O109" s="130">
        <f t="shared" si="66"/>
        <v>52.79151586539393</v>
      </c>
      <c r="P109" s="130">
        <f t="shared" si="56"/>
        <v>49.90837680697821</v>
      </c>
      <c r="Q109" s="130">
        <f t="shared" si="67"/>
        <v>47.26178535148426</v>
      </c>
      <c r="R109" s="129">
        <f t="shared" si="91"/>
        <v>11096.597961075226</v>
      </c>
      <c r="S109" s="130">
        <f t="shared" si="68"/>
        <v>4.166666666666667</v>
      </c>
      <c r="T109" s="130">
        <f t="shared" si="69"/>
        <v>6.6</v>
      </c>
      <c r="U109" s="134">
        <f t="shared" si="92"/>
        <v>2.68125</v>
      </c>
      <c r="V109" s="130">
        <f t="shared" si="70"/>
        <v>19887</v>
      </c>
      <c r="W109" s="130">
        <f t="shared" si="71"/>
        <v>19.17</v>
      </c>
      <c r="X109" s="130">
        <f t="shared" si="72"/>
        <v>80.47188157029933</v>
      </c>
      <c r="Y109" s="130">
        <f t="shared" si="73"/>
        <v>21.34532667647197</v>
      </c>
      <c r="Z109" s="130">
        <f t="shared" si="74"/>
        <v>6.69132288903085</v>
      </c>
      <c r="AA109" s="130">
        <f t="shared" si="75"/>
        <v>21.94776832126139</v>
      </c>
      <c r="AB109" s="130">
        <f t="shared" si="76"/>
        <v>0.06679860627020773</v>
      </c>
      <c r="AC109" s="130">
        <f t="shared" si="77"/>
        <v>0.6657866274585696</v>
      </c>
      <c r="AD109" s="130">
        <f t="shared" si="78"/>
        <v>41.21661500562526</v>
      </c>
      <c r="AE109" s="130">
        <f t="shared" si="79"/>
        <v>-12.44482039731755</v>
      </c>
      <c r="AF109" s="130">
        <f t="shared" si="80"/>
        <v>0.5591015441775083</v>
      </c>
      <c r="AG109" s="130">
        <f t="shared" si="81"/>
        <v>0.1003303513697629</v>
      </c>
      <c r="AH109" s="130">
        <f t="shared" si="82"/>
        <v>120.86737439812413</v>
      </c>
      <c r="AI109" s="130">
        <f t="shared" si="83"/>
        <v>32.96516844298911</v>
      </c>
      <c r="AJ109" s="130">
        <f t="shared" si="84"/>
        <v>13.175906470369913</v>
      </c>
      <c r="AK109" s="130">
        <f t="shared" si="93"/>
        <v>397.3776255289713</v>
      </c>
      <c r="AL109" s="130">
        <f t="shared" si="85"/>
        <v>3884.837355763543</v>
      </c>
      <c r="AM109" s="130">
        <f t="shared" si="86"/>
        <v>2931.772532176336</v>
      </c>
      <c r="AN109" s="130">
        <f t="shared" si="87"/>
        <v>2852.935975474209</v>
      </c>
      <c r="AO109" s="130">
        <f t="shared" si="88"/>
        <v>2820.894182195579</v>
      </c>
      <c r="AP109" s="130">
        <f t="shared" si="89"/>
        <v>3721.8959775814533</v>
      </c>
      <c r="AQ109" s="130">
        <f t="shared" si="90"/>
        <v>3414.630326422183</v>
      </c>
      <c r="AR109" s="130">
        <f t="shared" si="94"/>
        <v>299.38212178548173</v>
      </c>
      <c r="AS109" s="130">
        <f t="shared" si="95"/>
        <v>160.1198456519772</v>
      </c>
      <c r="AT109" s="130">
        <f t="shared" si="96"/>
        <v>-36.485382608723384</v>
      </c>
      <c r="AU109" s="130">
        <f t="shared" si="97"/>
        <v>159.81690420075282</v>
      </c>
      <c r="AV109" s="130">
        <f t="shared" si="98"/>
        <v>340.95407325692327</v>
      </c>
      <c r="AW109" s="130">
        <f t="shared" si="99"/>
        <v>89.68308338509512</v>
      </c>
      <c r="AX109" s="130">
        <f t="shared" si="100"/>
        <v>1562.0093551508346</v>
      </c>
      <c r="AY109" s="130">
        <f t="shared" si="101"/>
        <v>624.3222814075222</v>
      </c>
      <c r="AZ109" s="130">
        <f t="shared" si="102"/>
        <v>2900.4201604443815</v>
      </c>
      <c r="BA109" s="130">
        <f t="shared" si="103"/>
        <v>1618.3836897796855</v>
      </c>
      <c r="BB109" s="130">
        <f t="shared" si="104"/>
        <v>138.1179869361499</v>
      </c>
      <c r="BC109" s="130">
        <f t="shared" si="105"/>
        <v>1480.2657028435356</v>
      </c>
      <c r="BD109" s="129">
        <f t="shared" si="106"/>
        <v>9478.21427129554</v>
      </c>
      <c r="BE109" s="129">
        <f t="shared" si="57"/>
        <v>90.98611292027147</v>
      </c>
      <c r="BF109" s="130">
        <f t="shared" si="107"/>
        <v>8.73512855354333</v>
      </c>
      <c r="BG109" s="137">
        <f t="shared" si="108"/>
        <v>0.8957212832050461</v>
      </c>
      <c r="BH109" s="47"/>
      <c r="BI109" s="47"/>
      <c r="BJ109" s="47"/>
    </row>
    <row r="110" spans="1:62" ht="16.5" thickBot="1">
      <c r="A110" s="108">
        <f>IF(Data!A110&gt;0,Data!A110,"")</f>
        <v>90</v>
      </c>
      <c r="B110" s="109">
        <f>IF(A110&gt;0,IF(Data!$F$5="lb",Data!B110/2.204,Data!B110),"")</f>
        <v>54.38522851185876</v>
      </c>
      <c r="C110" s="109">
        <f>IF(A110&gt;0,Data!C110,"")</f>
        <v>0.35895317792892456</v>
      </c>
      <c r="D110" s="110">
        <f>IF(A110&gt;0,Data!D110,"")</f>
        <v>27.441532135009766</v>
      </c>
      <c r="E110" s="143">
        <f t="shared" si="58"/>
        <v>-0.28770005733523474</v>
      </c>
      <c r="F110" s="144">
        <f t="shared" si="59"/>
        <v>19.342757269241318</v>
      </c>
      <c r="G110" s="145">
        <f t="shared" si="60"/>
        <v>-8.27825145473291</v>
      </c>
      <c r="H110" s="111">
        <f>IF(A110&gt;0,IF(Data!$F$4="F",(Data!F110-32)/1.8,Data!F110),"")</f>
        <v>124.00082058376736</v>
      </c>
      <c r="I110" s="123">
        <f>IF(A110&gt;0,IF(Data!$F$4="F",(Data!G110-32)/1.8,Data!G110),"")</f>
        <v>26.46010504828559</v>
      </c>
      <c r="J110" s="136">
        <f t="shared" si="61"/>
        <v>0.9879600799242323</v>
      </c>
      <c r="K110" s="128">
        <f t="shared" si="62"/>
        <v>0.8650975684851386</v>
      </c>
      <c r="L110" s="128">
        <f t="shared" si="63"/>
        <v>0.8546818629028365</v>
      </c>
      <c r="M110" s="155">
        <f t="shared" si="64"/>
        <v>4.412937565597007</v>
      </c>
      <c r="N110" s="130">
        <f t="shared" si="65"/>
        <v>54.38522851185876</v>
      </c>
      <c r="O110" s="130">
        <f t="shared" si="66"/>
        <v>53.547882638297665</v>
      </c>
      <c r="P110" s="130">
        <f t="shared" si="56"/>
        <v>49.15998570325871</v>
      </c>
      <c r="Q110" s="130">
        <f t="shared" si="67"/>
        <v>48.052610723778876</v>
      </c>
      <c r="R110" s="129">
        <f t="shared" si="91"/>
        <v>11878.628236324366</v>
      </c>
      <c r="S110" s="130">
        <f t="shared" si="68"/>
        <v>4.166666666666667</v>
      </c>
      <c r="T110" s="130">
        <f t="shared" si="69"/>
        <v>6.6</v>
      </c>
      <c r="U110" s="134">
        <f t="shared" si="92"/>
        <v>2.68125</v>
      </c>
      <c r="V110" s="130">
        <f t="shared" si="70"/>
        <v>19887</v>
      </c>
      <c r="W110" s="130">
        <f t="shared" si="71"/>
        <v>19.17</v>
      </c>
      <c r="X110" s="130">
        <f t="shared" si="72"/>
        <v>80.47776614179422</v>
      </c>
      <c r="Y110" s="130">
        <f t="shared" si="73"/>
        <v>21.3468875707677</v>
      </c>
      <c r="Z110" s="130">
        <f t="shared" si="74"/>
        <v>6.687685879275133</v>
      </c>
      <c r="AA110" s="130">
        <f t="shared" si="75"/>
        <v>21.939618366859207</v>
      </c>
      <c r="AB110" s="130">
        <f t="shared" si="76"/>
        <v>0.06487251737436495</v>
      </c>
      <c r="AC110" s="130">
        <f t="shared" si="77"/>
        <v>0.6654247449878757</v>
      </c>
      <c r="AD110" s="130">
        <f t="shared" si="78"/>
        <v>41.239121841658836</v>
      </c>
      <c r="AE110" s="130">
        <f t="shared" si="79"/>
        <v>-12.440552469811959</v>
      </c>
      <c r="AF110" s="130">
        <f t="shared" si="80"/>
        <v>0.5394346703104117</v>
      </c>
      <c r="AG110" s="130">
        <f t="shared" si="81"/>
        <v>0.09749038920328541</v>
      </c>
      <c r="AH110" s="130">
        <f t="shared" si="82"/>
        <v>120.94194985679493</v>
      </c>
      <c r="AI110" s="130">
        <f t="shared" si="83"/>
        <v>32.97084836732207</v>
      </c>
      <c r="AJ110" s="130">
        <f t="shared" si="84"/>
        <v>13.175906470369913</v>
      </c>
      <c r="AK110" s="130">
        <f t="shared" si="93"/>
        <v>397.1508205837673</v>
      </c>
      <c r="AL110" s="130">
        <f t="shared" si="85"/>
        <v>3866.809845946199</v>
      </c>
      <c r="AM110" s="130">
        <f t="shared" si="86"/>
        <v>2918.16696006619</v>
      </c>
      <c r="AN110" s="130">
        <f t="shared" si="87"/>
        <v>2839.6960812560374</v>
      </c>
      <c r="AO110" s="130">
        <f t="shared" si="88"/>
        <v>2807.8030255020135</v>
      </c>
      <c r="AP110" s="130">
        <f t="shared" si="89"/>
        <v>3704.626215468704</v>
      </c>
      <c r="AQ110" s="130">
        <f t="shared" si="90"/>
        <v>3398.7836656238433</v>
      </c>
      <c r="AR110" s="130">
        <f t="shared" si="94"/>
        <v>299.61010504828556</v>
      </c>
      <c r="AS110" s="130">
        <f t="shared" si="95"/>
        <v>159.46384237550134</v>
      </c>
      <c r="AT110" s="130">
        <f t="shared" si="96"/>
        <v>-36.3036091823751</v>
      </c>
      <c r="AU110" s="130">
        <f t="shared" si="97"/>
        <v>154.18806617452847</v>
      </c>
      <c r="AV110" s="130">
        <f t="shared" si="98"/>
        <v>339.5811727180216</v>
      </c>
      <c r="AW110" s="130">
        <f t="shared" si="99"/>
        <v>87.14282034323848</v>
      </c>
      <c r="AX110" s="130">
        <f t="shared" si="100"/>
        <v>1561.756012735399</v>
      </c>
      <c r="AY110" s="130">
        <f t="shared" si="101"/>
        <v>624.1134872869756</v>
      </c>
      <c r="AZ110" s="130">
        <f t="shared" si="102"/>
        <v>2889.9417924512895</v>
      </c>
      <c r="BA110" s="130">
        <f t="shared" si="103"/>
        <v>1726.180126572421</v>
      </c>
      <c r="BB110" s="130">
        <f t="shared" si="104"/>
        <v>143.0174729196042</v>
      </c>
      <c r="BC110" s="130">
        <f t="shared" si="105"/>
        <v>1583.1626536528167</v>
      </c>
      <c r="BD110" s="129">
        <f t="shared" si="106"/>
        <v>10152.448109751946</v>
      </c>
      <c r="BE110" s="129">
        <f t="shared" si="57"/>
        <v>179.1931871785837</v>
      </c>
      <c r="BF110" s="130">
        <f t="shared" si="107"/>
        <v>9.021814722142318</v>
      </c>
      <c r="BG110" s="137">
        <f t="shared" si="108"/>
        <v>0.9317058097936527</v>
      </c>
      <c r="BH110" s="47"/>
      <c r="BI110" s="47"/>
      <c r="BJ110" s="47"/>
    </row>
    <row r="111" spans="1:62" ht="16.5" thickBot="1">
      <c r="A111" s="108">
        <f>IF(Data!A111&gt;0,Data!A111,"")</f>
        <v>91</v>
      </c>
      <c r="B111" s="109">
        <f>IF(A111&gt;0,IF(Data!$F$5="lb",Data!B111/2.204,Data!B111),"")</f>
        <v>53.85844720470061</v>
      </c>
      <c r="C111" s="109">
        <f>IF(A111&gt;0,Data!C111,"")</f>
        <v>0.36693885922431946</v>
      </c>
      <c r="D111" s="110">
        <f>IF(A111&gt;0,Data!D111,"")</f>
        <v>27.441471099853516</v>
      </c>
      <c r="E111" s="143">
        <f t="shared" si="58"/>
        <v>-0.28790304359007124</v>
      </c>
      <c r="F111" s="144">
        <f t="shared" si="59"/>
        <v>19.342301968432817</v>
      </c>
      <c r="G111" s="145">
        <f t="shared" si="60"/>
        <v>-8.282638561032858</v>
      </c>
      <c r="H111" s="111">
        <f>IF(A111&gt;0,IF(Data!$F$4="F",(Data!F111-32)/1.8,Data!F111),"")</f>
        <v>123.55874803331163</v>
      </c>
      <c r="I111" s="123">
        <f>IF(A111&gt;0,IF(Data!$F$4="F",(Data!G111-32)/1.8,Data!G111),"")</f>
        <v>26.11549801296658</v>
      </c>
      <c r="J111" s="136">
        <f t="shared" si="61"/>
        <v>0.98771545800266</v>
      </c>
      <c r="K111" s="128">
        <f t="shared" si="62"/>
        <v>0.8651155059235321</v>
      </c>
      <c r="L111" s="128">
        <f t="shared" si="63"/>
        <v>0.8544879581584645</v>
      </c>
      <c r="M111" s="155">
        <f t="shared" si="64"/>
        <v>4.4113058310824655</v>
      </c>
      <c r="N111" s="130">
        <f t="shared" si="65"/>
        <v>53.85844720470061</v>
      </c>
      <c r="O111" s="130">
        <f t="shared" si="66"/>
        <v>53.99782295800646</v>
      </c>
      <c r="P111" s="130">
        <f t="shared" si="56"/>
        <v>48.713764423378436</v>
      </c>
      <c r="Q111" s="130">
        <f t="shared" si="67"/>
        <v>48.52413304417161</v>
      </c>
      <c r="R111" s="129">
        <f t="shared" si="91"/>
        <v>11921.431390528263</v>
      </c>
      <c r="S111" s="130">
        <f t="shared" si="68"/>
        <v>4.166666666666667</v>
      </c>
      <c r="T111" s="130">
        <f t="shared" si="69"/>
        <v>6.6</v>
      </c>
      <c r="U111" s="134">
        <f t="shared" si="92"/>
        <v>2.68125</v>
      </c>
      <c r="V111" s="130">
        <f t="shared" si="70"/>
        <v>19887</v>
      </c>
      <c r="W111" s="130">
        <f t="shared" si="71"/>
        <v>19.17</v>
      </c>
      <c r="X111" s="130">
        <f t="shared" si="72"/>
        <v>80.47422860195502</v>
      </c>
      <c r="Y111" s="130">
        <f t="shared" si="73"/>
        <v>21.345949231287804</v>
      </c>
      <c r="Z111" s="130">
        <f t="shared" si="74"/>
        <v>6.689865565318374</v>
      </c>
      <c r="AA111" s="130">
        <f t="shared" si="75"/>
        <v>21.944496572719853</v>
      </c>
      <c r="AB111" s="130">
        <f t="shared" si="76"/>
        <v>0.06602989641539025</v>
      </c>
      <c r="AC111" s="130">
        <f t="shared" si="77"/>
        <v>0.6656416237491781</v>
      </c>
      <c r="AD111" s="130">
        <f t="shared" si="78"/>
        <v>41.22559365397167</v>
      </c>
      <c r="AE111" s="130">
        <f t="shared" si="79"/>
        <v>-12.443089893299486</v>
      </c>
      <c r="AF111" s="130">
        <f t="shared" si="80"/>
        <v>0.5512558802401253</v>
      </c>
      <c r="AG111" s="130">
        <f t="shared" si="81"/>
        <v>0.09919736696074032</v>
      </c>
      <c r="AH111" s="130">
        <f t="shared" si="82"/>
        <v>120.89723017723827</v>
      </c>
      <c r="AI111" s="130">
        <f t="shared" si="83"/>
        <v>32.96743441180717</v>
      </c>
      <c r="AJ111" s="130">
        <f t="shared" si="84"/>
        <v>13.175906470369913</v>
      </c>
      <c r="AK111" s="130">
        <f t="shared" si="93"/>
        <v>396.7087480333116</v>
      </c>
      <c r="AL111" s="130">
        <f t="shared" si="85"/>
        <v>3861.8344963465197</v>
      </c>
      <c r="AM111" s="130">
        <f t="shared" si="86"/>
        <v>2914.906088138321</v>
      </c>
      <c r="AN111" s="130">
        <f t="shared" si="87"/>
        <v>2836.6439359551973</v>
      </c>
      <c r="AO111" s="130">
        <f t="shared" si="88"/>
        <v>2804.7597516838555</v>
      </c>
      <c r="AP111" s="130">
        <f t="shared" si="89"/>
        <v>3698.778060151636</v>
      </c>
      <c r="AQ111" s="130">
        <f t="shared" si="90"/>
        <v>3395.1690309443643</v>
      </c>
      <c r="AR111" s="130">
        <f t="shared" si="94"/>
        <v>299.26549801296653</v>
      </c>
      <c r="AS111" s="130">
        <f t="shared" si="95"/>
        <v>159.20641970527197</v>
      </c>
      <c r="AT111" s="130">
        <f t="shared" si="96"/>
        <v>-36.27043848523109</v>
      </c>
      <c r="AU111" s="130">
        <f t="shared" si="97"/>
        <v>157.56527196663657</v>
      </c>
      <c r="AV111" s="130">
        <f t="shared" si="98"/>
        <v>339.08768529117674</v>
      </c>
      <c r="AW111" s="130">
        <f t="shared" si="99"/>
        <v>88.66804042884395</v>
      </c>
      <c r="AX111" s="130">
        <f t="shared" si="100"/>
        <v>1561.4751359974066</v>
      </c>
      <c r="AY111" s="130">
        <f t="shared" si="101"/>
        <v>624.0658611985142</v>
      </c>
      <c r="AZ111" s="130">
        <f t="shared" si="102"/>
        <v>2893.7979761026186</v>
      </c>
      <c r="BA111" s="130">
        <f t="shared" si="103"/>
        <v>1734.7118233095448</v>
      </c>
      <c r="BB111" s="130">
        <f t="shared" si="104"/>
        <v>146.44905767400383</v>
      </c>
      <c r="BC111" s="130">
        <f t="shared" si="105"/>
        <v>1588.262765635541</v>
      </c>
      <c r="BD111" s="129">
        <f t="shared" si="106"/>
        <v>10186.719567218719</v>
      </c>
      <c r="BE111" s="129">
        <f t="shared" si="57"/>
        <v>109.01305753795445</v>
      </c>
      <c r="BF111" s="130">
        <f t="shared" si="107"/>
        <v>9.252740802404672</v>
      </c>
      <c r="BG111" s="137">
        <f t="shared" si="108"/>
        <v>0.9514352928795864</v>
      </c>
      <c r="BH111" s="47"/>
      <c r="BI111" s="47"/>
      <c r="BJ111" s="47"/>
    </row>
    <row r="112" spans="1:62" ht="16.5" thickBot="1">
      <c r="A112" s="108">
        <f>IF(Data!A112&gt;0,Data!A112,"")</f>
        <v>92</v>
      </c>
      <c r="B112" s="109">
        <f>IF(A112&gt;0,IF(Data!$F$5="lb",Data!B112/2.204,Data!B112),"")</f>
        <v>52.97187625171917</v>
      </c>
      <c r="C112" s="109">
        <f>IF(A112&gt;0,Data!C112,"")</f>
        <v>1.324525237083435</v>
      </c>
      <c r="D112" s="110">
        <f>IF(A112&gt;0,Data!D112,"")</f>
        <v>27.441532135009766</v>
      </c>
      <c r="E112" s="143">
        <f t="shared" si="58"/>
        <v>-0.31160937912646813</v>
      </c>
      <c r="F112" s="144">
        <f t="shared" si="59"/>
        <v>19.287281512787867</v>
      </c>
      <c r="G112" s="145">
        <f t="shared" si="60"/>
        <v>-8.816513240763616</v>
      </c>
      <c r="H112" s="111">
        <f>IF(A112&gt;0,IF(Data!$F$4="F",(Data!F112-32)/1.8,Data!F112),"")</f>
        <v>123.16719902886284</v>
      </c>
      <c r="I112" s="123">
        <f>IF(A112&gt;0,IF(Data!$F$4="F",(Data!G112-32)/1.8,Data!G112),"")</f>
        <v>26.002532111273872</v>
      </c>
      <c r="J112" s="136">
        <f t="shared" si="61"/>
        <v>0.9595038178134122</v>
      </c>
      <c r="K112" s="128">
        <f t="shared" si="62"/>
        <v>0.8631032580578634</v>
      </c>
      <c r="L112" s="128">
        <f t="shared" si="63"/>
        <v>0.8281508712737147</v>
      </c>
      <c r="M112" s="155">
        <f t="shared" si="64"/>
        <v>4.222003131228821</v>
      </c>
      <c r="N112" s="130">
        <f t="shared" si="65"/>
        <v>52.97187625171917</v>
      </c>
      <c r="O112" s="130">
        <f t="shared" si="66"/>
        <v>54.75507081894703</v>
      </c>
      <c r="P112" s="130">
        <f t="shared" si="56"/>
        <v>47.96106868304166</v>
      </c>
      <c r="Q112" s="130">
        <f t="shared" si="67"/>
        <v>49.31950712881534</v>
      </c>
      <c r="R112" s="129">
        <f t="shared" si="91"/>
        <v>14899.405891376318</v>
      </c>
      <c r="S112" s="130">
        <f t="shared" si="68"/>
        <v>4.166666666666667</v>
      </c>
      <c r="T112" s="130">
        <f t="shared" si="69"/>
        <v>6.6</v>
      </c>
      <c r="U112" s="134">
        <f t="shared" si="92"/>
        <v>2.68125</v>
      </c>
      <c r="V112" s="130">
        <f t="shared" si="70"/>
        <v>19887</v>
      </c>
      <c r="W112" s="130">
        <f t="shared" si="71"/>
        <v>19.17</v>
      </c>
      <c r="X112" s="130">
        <f t="shared" si="72"/>
        <v>80.05045586867041</v>
      </c>
      <c r="Y112" s="130">
        <f t="shared" si="73"/>
        <v>21.233542670734856</v>
      </c>
      <c r="Z112" s="130">
        <f t="shared" si="74"/>
        <v>6.953012251034395</v>
      </c>
      <c r="AA112" s="130">
        <f t="shared" si="75"/>
        <v>22.53528641397994</v>
      </c>
      <c r="AB112" s="130">
        <f t="shared" si="76"/>
        <v>0.2048270072167817</v>
      </c>
      <c r="AC112" s="130">
        <f t="shared" si="77"/>
        <v>0.6918247189779223</v>
      </c>
      <c r="AD112" s="130">
        <f t="shared" si="78"/>
        <v>39.665440366963075</v>
      </c>
      <c r="AE112" s="130">
        <f t="shared" si="79"/>
        <v>-12.743854041221343</v>
      </c>
      <c r="AF112" s="130">
        <f t="shared" si="80"/>
        <v>1.9145387563489238</v>
      </c>
      <c r="AG112" s="130">
        <f t="shared" si="81"/>
        <v>0.2960677778605338</v>
      </c>
      <c r="AH112" s="130">
        <f t="shared" si="82"/>
        <v>115.70915821992334</v>
      </c>
      <c r="AI112" s="130">
        <f t="shared" si="83"/>
        <v>32.57369359000757</v>
      </c>
      <c r="AJ112" s="130">
        <f t="shared" si="84"/>
        <v>13.175906470369913</v>
      </c>
      <c r="AK112" s="130">
        <f t="shared" si="93"/>
        <v>396.31719902886283</v>
      </c>
      <c r="AL112" s="130">
        <f t="shared" si="85"/>
        <v>3850.0829900192784</v>
      </c>
      <c r="AM112" s="130">
        <f t="shared" si="86"/>
        <v>2906.351990885603</v>
      </c>
      <c r="AN112" s="130">
        <f t="shared" si="87"/>
        <v>2828.3969201925424</v>
      </c>
      <c r="AO112" s="130">
        <f t="shared" si="88"/>
        <v>2796.5891841579637</v>
      </c>
      <c r="AP112" s="130">
        <f t="shared" si="89"/>
        <v>3686.8309364046895</v>
      </c>
      <c r="AQ112" s="130">
        <f t="shared" si="90"/>
        <v>3385.322781860922</v>
      </c>
      <c r="AR112" s="130">
        <f t="shared" si="94"/>
        <v>299.15253211127384</v>
      </c>
      <c r="AS112" s="130">
        <f t="shared" si="95"/>
        <v>152.71523724846858</v>
      </c>
      <c r="AT112" s="130">
        <f t="shared" si="96"/>
        <v>-37.03812556425918</v>
      </c>
      <c r="AU112" s="130">
        <f t="shared" si="97"/>
        <v>547.2161417974975</v>
      </c>
      <c r="AV112" s="130">
        <f t="shared" si="98"/>
        <v>323.5909803858601</v>
      </c>
      <c r="AW112" s="130">
        <f t="shared" si="99"/>
        <v>264.6380607119101</v>
      </c>
      <c r="AX112" s="130">
        <f t="shared" si="100"/>
        <v>1542.5052004586526</v>
      </c>
      <c r="AY112" s="130">
        <f t="shared" si="101"/>
        <v>623.9361279415068</v>
      </c>
      <c r="AZ112" s="130">
        <f t="shared" si="102"/>
        <v>3417.5636229796364</v>
      </c>
      <c r="BA112" s="130">
        <f t="shared" si="103"/>
        <v>2560.449920972303</v>
      </c>
      <c r="BB112" s="130">
        <f t="shared" si="104"/>
        <v>603.3681001611003</v>
      </c>
      <c r="BC112" s="130">
        <f t="shared" si="105"/>
        <v>1957.0818208112028</v>
      </c>
      <c r="BD112" s="129">
        <f t="shared" si="106"/>
        <v>12338.955970404015</v>
      </c>
      <c r="BE112" s="129">
        <f t="shared" si="57"/>
        <v>606.1816893019463</v>
      </c>
      <c r="BF112" s="130">
        <f t="shared" si="107"/>
        <v>40.162604752711644</v>
      </c>
      <c r="BG112" s="137">
        <f t="shared" si="108"/>
        <v>3.5490392668190736</v>
      </c>
      <c r="BH112" s="47"/>
      <c r="BI112" s="47"/>
      <c r="BJ112" s="47"/>
    </row>
    <row r="113" spans="1:62" ht="16.5" thickBot="1">
      <c r="A113" s="108">
        <f>IF(Data!A113&gt;0,Data!A113,"")</f>
        <v>93</v>
      </c>
      <c r="B113" s="109">
        <f>IF(A113&gt;0,IF(Data!$F$5="lb",Data!B113/2.204,Data!B113),"")</f>
        <v>52.09598091250106</v>
      </c>
      <c r="C113" s="109">
        <f>IF(A113&gt;0,Data!C113,"")</f>
        <v>3.2645695209503174</v>
      </c>
      <c r="D113" s="110">
        <f>IF(A113&gt;0,Data!D113,"")</f>
        <v>27.44159507751465</v>
      </c>
      <c r="E113" s="143">
        <f t="shared" si="58"/>
        <v>-0.3551039553976463</v>
      </c>
      <c r="F113" s="144">
        <f t="shared" si="59"/>
        <v>19.175815035518404</v>
      </c>
      <c r="G113" s="145">
        <f t="shared" si="60"/>
        <v>-9.898064802471403</v>
      </c>
      <c r="H113" s="111">
        <f>IF(A113&gt;0,IF(Data!$F$4="F",(Data!F113-32)/1.8,Data!F113),"")</f>
        <v>123.01680670844183</v>
      </c>
      <c r="I113" s="123">
        <f>IF(A113&gt;0,IF(Data!$F$4="F",(Data!G113-32)/1.8,Data!G113),"")</f>
        <v>26.43536885579427</v>
      </c>
      <c r="J113" s="136">
        <f t="shared" si="61"/>
        <v>0.9084271083698099</v>
      </c>
      <c r="K113" s="128">
        <f t="shared" si="62"/>
        <v>0.859146313632807</v>
      </c>
      <c r="L113" s="128">
        <f t="shared" si="63"/>
        <v>0.7804718013600328</v>
      </c>
      <c r="M113" s="155">
        <f t="shared" si="64"/>
        <v>3.8792822635034905</v>
      </c>
      <c r="N113" s="130">
        <f t="shared" si="65"/>
        <v>52.09598091250106</v>
      </c>
      <c r="O113" s="130">
        <f t="shared" si="66"/>
        <v>55.50320030570751</v>
      </c>
      <c r="P113" s="130">
        <f t="shared" si="56"/>
        <v>47.215357837027916</v>
      </c>
      <c r="Q113" s="130">
        <f t="shared" si="67"/>
        <v>50.107500271026694</v>
      </c>
      <c r="R113" s="129">
        <f t="shared" si="91"/>
        <v>11024.900989265707</v>
      </c>
      <c r="S113" s="130">
        <f t="shared" si="68"/>
        <v>4.166666666666667</v>
      </c>
      <c r="T113" s="130">
        <f t="shared" si="69"/>
        <v>6.6</v>
      </c>
      <c r="U113" s="134">
        <f t="shared" si="92"/>
        <v>2.68125</v>
      </c>
      <c r="V113" s="130">
        <f t="shared" si="70"/>
        <v>19887</v>
      </c>
      <c r="W113" s="130">
        <f t="shared" si="71"/>
        <v>19.17</v>
      </c>
      <c r="X113" s="130">
        <f t="shared" si="72"/>
        <v>79.19190020400643</v>
      </c>
      <c r="Y113" s="130">
        <f t="shared" si="73"/>
        <v>21.00580907268075</v>
      </c>
      <c r="Z113" s="130">
        <f t="shared" si="74"/>
        <v>7.486125773386582</v>
      </c>
      <c r="AA113" s="130">
        <f t="shared" si="75"/>
        <v>23.732162804217467</v>
      </c>
      <c r="AB113" s="130">
        <f t="shared" si="76"/>
        <v>0.48602612397912637</v>
      </c>
      <c r="AC113" s="130">
        <f t="shared" si="77"/>
        <v>0.7448695144519649</v>
      </c>
      <c r="AD113" s="130">
        <f t="shared" si="78"/>
        <v>36.84080841690065</v>
      </c>
      <c r="AE113" s="130">
        <f t="shared" si="79"/>
        <v>-13.288320451339546</v>
      </c>
      <c r="AF113" s="130">
        <f t="shared" si="80"/>
        <v>4.382740141207433</v>
      </c>
      <c r="AG113" s="130">
        <f t="shared" si="81"/>
        <v>0.6524983430644471</v>
      </c>
      <c r="AH113" s="130">
        <f t="shared" si="82"/>
        <v>106.31647378168186</v>
      </c>
      <c r="AI113" s="130">
        <f t="shared" si="83"/>
        <v>31.860832459599745</v>
      </c>
      <c r="AJ113" s="130">
        <f t="shared" si="84"/>
        <v>13.175906470369913</v>
      </c>
      <c r="AK113" s="130">
        <f t="shared" si="93"/>
        <v>396.1668067084418</v>
      </c>
      <c r="AL113" s="130">
        <f t="shared" si="85"/>
        <v>3827.368483991183</v>
      </c>
      <c r="AM113" s="130">
        <f t="shared" si="86"/>
        <v>2889.0294233425648</v>
      </c>
      <c r="AN113" s="130">
        <f t="shared" si="87"/>
        <v>2811.495902367898</v>
      </c>
      <c r="AO113" s="130">
        <f t="shared" si="88"/>
        <v>2779.8872753304095</v>
      </c>
      <c r="AP113" s="130">
        <f t="shared" si="89"/>
        <v>3665.464612719099</v>
      </c>
      <c r="AQ113" s="130">
        <f t="shared" si="90"/>
        <v>3365.080191089687</v>
      </c>
      <c r="AR113" s="130">
        <f t="shared" si="94"/>
        <v>299.58536885579423</v>
      </c>
      <c r="AS113" s="130">
        <f t="shared" si="95"/>
        <v>141.00334905960264</v>
      </c>
      <c r="AT113" s="130">
        <f t="shared" si="96"/>
        <v>-38.3903487707247</v>
      </c>
      <c r="AU113" s="130">
        <f t="shared" si="97"/>
        <v>1252.6068367288633</v>
      </c>
      <c r="AV113" s="130">
        <f t="shared" si="98"/>
        <v>295.54781262369653</v>
      </c>
      <c r="AW113" s="130">
        <f t="shared" si="99"/>
        <v>583.2170246552366</v>
      </c>
      <c r="AX113" s="130">
        <f t="shared" si="100"/>
        <v>1508.1031985975676</v>
      </c>
      <c r="AY113" s="130">
        <f t="shared" si="101"/>
        <v>623.669413458787</v>
      </c>
      <c r="AZ113" s="130">
        <f t="shared" si="102"/>
        <v>4365.757286353029</v>
      </c>
      <c r="BA113" s="130">
        <f t="shared" si="103"/>
        <v>2420.2766543574935</v>
      </c>
      <c r="BB113" s="130">
        <f t="shared" si="104"/>
        <v>1009.5805237724759</v>
      </c>
      <c r="BC113" s="130">
        <f t="shared" si="105"/>
        <v>1410.6961305850177</v>
      </c>
      <c r="BD113" s="129">
        <f t="shared" si="106"/>
        <v>8604.624334908214</v>
      </c>
      <c r="BE113" s="129">
        <f t="shared" si="57"/>
        <v>1358.021550260168</v>
      </c>
      <c r="BF113" s="130">
        <f t="shared" si="107"/>
        <v>68.03136377119655</v>
      </c>
      <c r="BG113" s="137">
        <f t="shared" si="108"/>
        <v>5.787684117620924</v>
      </c>
      <c r="BH113" s="47"/>
      <c r="BI113" s="47"/>
      <c r="BJ113" s="47"/>
    </row>
    <row r="114" spans="1:62" ht="16.5" thickBot="1">
      <c r="A114" s="108">
        <f>IF(Data!A114&gt;0,Data!A114,"")</f>
        <v>94</v>
      </c>
      <c r="B114" s="109">
        <f>IF(A114&gt;0,IF(Data!$F$5="lb",Data!B114/2.204,Data!B114),"")</f>
        <v>51.67042408577976</v>
      </c>
      <c r="C114" s="109">
        <f>IF(A114&gt;0,Data!C114,"")</f>
        <v>3.3106181621551514</v>
      </c>
      <c r="D114" s="110">
        <f>IF(A114&gt;0,Data!D114,"")</f>
        <v>27.441442489624023</v>
      </c>
      <c r="E114" s="143">
        <f t="shared" si="58"/>
        <v>-0.35606643344360056</v>
      </c>
      <c r="F114" s="144">
        <f t="shared" si="59"/>
        <v>19.17317813415854</v>
      </c>
      <c r="G114" s="145">
        <f t="shared" si="60"/>
        <v>-9.923573436543059</v>
      </c>
      <c r="H114" s="111">
        <f>IF(A114&gt;0,IF(Data!$F$4="F",(Data!F114-32)/1.8,Data!F114),"")</f>
        <v>122.72944980197482</v>
      </c>
      <c r="I114" s="123">
        <f>IF(A114&gt;0,IF(Data!$F$4="F",(Data!G114-32)/1.8,Data!G114),"")</f>
        <v>26.394657558865017</v>
      </c>
      <c r="J114" s="136">
        <f t="shared" si="61"/>
        <v>0.9073025516744824</v>
      </c>
      <c r="K114" s="128">
        <f t="shared" si="62"/>
        <v>0.8591311661796257</v>
      </c>
      <c r="L114" s="128">
        <f t="shared" si="63"/>
        <v>0.7794918992978481</v>
      </c>
      <c r="M114" s="155">
        <f t="shared" si="64"/>
        <v>3.8717582335460823</v>
      </c>
      <c r="N114" s="130">
        <f t="shared" si="65"/>
        <v>51.67042408577976</v>
      </c>
      <c r="O114" s="130">
        <f t="shared" si="66"/>
        <v>55.866681644296</v>
      </c>
      <c r="P114" s="130">
        <f t="shared" si="56"/>
        <v>46.852314120838656</v>
      </c>
      <c r="Q114" s="130">
        <f t="shared" si="67"/>
        <v>50.491128805074844</v>
      </c>
      <c r="R114" s="129">
        <f t="shared" si="91"/>
        <v>11986.981177294927</v>
      </c>
      <c r="S114" s="130">
        <f t="shared" si="68"/>
        <v>4.166666666666667</v>
      </c>
      <c r="T114" s="130">
        <f t="shared" si="69"/>
        <v>6.6</v>
      </c>
      <c r="U114" s="134">
        <f t="shared" si="92"/>
        <v>2.68125</v>
      </c>
      <c r="V114" s="130">
        <f t="shared" si="70"/>
        <v>19887</v>
      </c>
      <c r="W114" s="130">
        <f t="shared" si="71"/>
        <v>19.17</v>
      </c>
      <c r="X114" s="130">
        <f t="shared" si="72"/>
        <v>79.17151278476388</v>
      </c>
      <c r="Y114" s="130">
        <f t="shared" si="73"/>
        <v>21.000401269168137</v>
      </c>
      <c r="Z114" s="130">
        <f t="shared" si="74"/>
        <v>7.49874264544931</v>
      </c>
      <c r="AA114" s="130">
        <f t="shared" si="75"/>
        <v>23.760449988130148</v>
      </c>
      <c r="AB114" s="130">
        <f t="shared" si="76"/>
        <v>0.49270037092628627</v>
      </c>
      <c r="AC114" s="130">
        <f t="shared" si="77"/>
        <v>0.7461248932222064</v>
      </c>
      <c r="AD114" s="130">
        <f t="shared" si="78"/>
        <v>36.77861808244425</v>
      </c>
      <c r="AE114" s="130">
        <f t="shared" si="79"/>
        <v>-13.300150586971075</v>
      </c>
      <c r="AF114" s="130">
        <f t="shared" si="80"/>
        <v>4.437083110654509</v>
      </c>
      <c r="AG114" s="130">
        <f t="shared" si="81"/>
        <v>0.6603457080737731</v>
      </c>
      <c r="AH114" s="130">
        <f t="shared" si="82"/>
        <v>106.11026854077296</v>
      </c>
      <c r="AI114" s="130">
        <f t="shared" si="83"/>
        <v>31.84513772958109</v>
      </c>
      <c r="AJ114" s="130">
        <f t="shared" si="84"/>
        <v>13.175906470369913</v>
      </c>
      <c r="AK114" s="130">
        <f t="shared" si="93"/>
        <v>395.87944980197483</v>
      </c>
      <c r="AL114" s="130">
        <f t="shared" si="85"/>
        <v>3817.136047961586</v>
      </c>
      <c r="AM114" s="130">
        <f t="shared" si="86"/>
        <v>2881.5093219205232</v>
      </c>
      <c r="AN114" s="130">
        <f t="shared" si="87"/>
        <v>2804.2275302370285</v>
      </c>
      <c r="AO114" s="130">
        <f t="shared" si="88"/>
        <v>2772.6901426657587</v>
      </c>
      <c r="AP114" s="130">
        <f t="shared" si="89"/>
        <v>3655.2189808192675</v>
      </c>
      <c r="AQ114" s="130">
        <f t="shared" si="90"/>
        <v>3356.3965184911985</v>
      </c>
      <c r="AR114" s="130">
        <f t="shared" si="94"/>
        <v>299.54465755886497</v>
      </c>
      <c r="AS114" s="130">
        <f t="shared" si="95"/>
        <v>140.38898887670976</v>
      </c>
      <c r="AT114" s="130">
        <f t="shared" si="96"/>
        <v>-38.32450789930387</v>
      </c>
      <c r="AU114" s="130">
        <f t="shared" si="97"/>
        <v>1268.106051346299</v>
      </c>
      <c r="AV114" s="130">
        <f t="shared" si="98"/>
        <v>294.21089561861777</v>
      </c>
      <c r="AW114" s="130">
        <f t="shared" si="99"/>
        <v>590.2244022821714</v>
      </c>
      <c r="AX114" s="130">
        <f t="shared" si="100"/>
        <v>1507.08377023839</v>
      </c>
      <c r="AY114" s="130">
        <f t="shared" si="101"/>
        <v>623.55499820081</v>
      </c>
      <c r="AZ114" s="130">
        <f t="shared" si="102"/>
        <v>4385.244598663694</v>
      </c>
      <c r="BA114" s="130">
        <f t="shared" si="103"/>
        <v>2643.226452557749</v>
      </c>
      <c r="BB114" s="130">
        <f t="shared" si="104"/>
        <v>1111.1608742077233</v>
      </c>
      <c r="BC114" s="130">
        <f t="shared" si="105"/>
        <v>1532.0655783500256</v>
      </c>
      <c r="BD114" s="129">
        <f t="shared" si="106"/>
        <v>9343.754724737179</v>
      </c>
      <c r="BE114" s="129">
        <f t="shared" si="57"/>
        <v>669.2617078754431</v>
      </c>
      <c r="BF114" s="130">
        <f t="shared" si="107"/>
        <v>74.88522594791809</v>
      </c>
      <c r="BG114" s="137">
        <f t="shared" si="108"/>
        <v>6.36842284763941</v>
      </c>
      <c r="BH114" s="47"/>
      <c r="BI114" s="47"/>
      <c r="BJ114" s="47"/>
    </row>
    <row r="115" spans="1:62" ht="16.5" thickBot="1">
      <c r="A115" s="108">
        <f>IF(Data!A115&gt;0,Data!A115,"")</f>
        <v>95</v>
      </c>
      <c r="B115" s="109">
        <f>IF(A115&gt;0,IF(Data!$F$5="lb",Data!B115/2.204,Data!B115),"")</f>
        <v>50.68503793484502</v>
      </c>
      <c r="C115" s="109">
        <f>IF(A115&gt;0,Data!C115,"")</f>
        <v>2.641052722930908</v>
      </c>
      <c r="D115" s="110">
        <f>IF(A115&gt;0,Data!D115,"")</f>
        <v>27.441837310791016</v>
      </c>
      <c r="E115" s="143">
        <f t="shared" si="58"/>
        <v>-0.34174262937300337</v>
      </c>
      <c r="F115" s="144">
        <f t="shared" si="59"/>
        <v>19.21162450994291</v>
      </c>
      <c r="G115" s="145">
        <f t="shared" si="60"/>
        <v>-9.550739162313558</v>
      </c>
      <c r="H115" s="111">
        <f>IF(A115&gt;0,IF(Data!$F$4="F",(Data!F115-32)/1.8,Data!F115),"")</f>
        <v>121.83960808648003</v>
      </c>
      <c r="I115" s="123">
        <f>IF(A115&gt;0,IF(Data!$F$4="F",(Data!G115-32)/1.8,Data!G115),"")</f>
        <v>26.02617475721571</v>
      </c>
      <c r="J115" s="136">
        <f t="shared" si="61"/>
        <v>0.9240315499540676</v>
      </c>
      <c r="K115" s="128">
        <f t="shared" si="62"/>
        <v>0.860717953632362</v>
      </c>
      <c r="L115" s="128">
        <f t="shared" si="63"/>
        <v>0.7953305447682048</v>
      </c>
      <c r="M115" s="155">
        <f t="shared" si="64"/>
        <v>3.9839490652758918</v>
      </c>
      <c r="N115" s="130">
        <f t="shared" si="65"/>
        <v>50.68503793484502</v>
      </c>
      <c r="O115" s="130">
        <f t="shared" si="66"/>
        <v>56.708330643156714</v>
      </c>
      <c r="P115" s="130">
        <f t="shared" si="56"/>
        <v>46.00984859206438</v>
      </c>
      <c r="Q115" s="130">
        <f t="shared" si="67"/>
        <v>51.38136268429531</v>
      </c>
      <c r="R115" s="129">
        <f t="shared" si="91"/>
        <v>12175.76686486597</v>
      </c>
      <c r="S115" s="130">
        <f t="shared" si="68"/>
        <v>4.166666666666667</v>
      </c>
      <c r="T115" s="130">
        <f t="shared" si="69"/>
        <v>6.6</v>
      </c>
      <c r="U115" s="134">
        <f t="shared" si="92"/>
        <v>2.68125</v>
      </c>
      <c r="V115" s="130">
        <f t="shared" si="70"/>
        <v>19887</v>
      </c>
      <c r="W115" s="130">
        <f t="shared" si="71"/>
        <v>19.17</v>
      </c>
      <c r="X115" s="130">
        <f t="shared" si="72"/>
        <v>79.46784912859164</v>
      </c>
      <c r="Y115" s="130">
        <f t="shared" si="73"/>
        <v>21.079005073896987</v>
      </c>
      <c r="Z115" s="130">
        <f t="shared" si="74"/>
        <v>7.314849876040273</v>
      </c>
      <c r="AA115" s="130">
        <f t="shared" si="75"/>
        <v>23.347702358041133</v>
      </c>
      <c r="AB115" s="130">
        <f t="shared" si="76"/>
        <v>0.39565111644588313</v>
      </c>
      <c r="AC115" s="130">
        <f t="shared" si="77"/>
        <v>0.7278275626660072</v>
      </c>
      <c r="AD115" s="130">
        <f t="shared" si="78"/>
        <v>37.703762152497376</v>
      </c>
      <c r="AE115" s="130">
        <f t="shared" si="79"/>
        <v>-13.122255397046974</v>
      </c>
      <c r="AF115" s="130">
        <f t="shared" si="80"/>
        <v>3.628679179525468</v>
      </c>
      <c r="AG115" s="130">
        <f t="shared" si="81"/>
        <v>0.5436055691496854</v>
      </c>
      <c r="AH115" s="130">
        <f t="shared" si="82"/>
        <v>109.18499546445267</v>
      </c>
      <c r="AI115" s="130">
        <f t="shared" si="83"/>
        <v>32.07861800742927</v>
      </c>
      <c r="AJ115" s="130">
        <f t="shared" si="84"/>
        <v>13.175906470369913</v>
      </c>
      <c r="AK115" s="130">
        <f t="shared" si="93"/>
        <v>394.98960808648</v>
      </c>
      <c r="AL115" s="130">
        <f t="shared" si="85"/>
        <v>3794.7297213787588</v>
      </c>
      <c r="AM115" s="130">
        <f t="shared" si="86"/>
        <v>2865.372202717137</v>
      </c>
      <c r="AN115" s="130">
        <f t="shared" si="87"/>
        <v>2788.713615560541</v>
      </c>
      <c r="AO115" s="130">
        <f t="shared" si="88"/>
        <v>2757.310737382241</v>
      </c>
      <c r="AP115" s="130">
        <f t="shared" si="89"/>
        <v>3632.061321735471</v>
      </c>
      <c r="AQ115" s="130">
        <f t="shared" si="90"/>
        <v>3337.888265585058</v>
      </c>
      <c r="AR115" s="130">
        <f t="shared" si="94"/>
        <v>299.1761747572157</v>
      </c>
      <c r="AS115" s="130">
        <f t="shared" si="95"/>
        <v>143.07558684787736</v>
      </c>
      <c r="AT115" s="130">
        <f t="shared" si="96"/>
        <v>-37.60014585165333</v>
      </c>
      <c r="AU115" s="130">
        <f t="shared" si="97"/>
        <v>1037.0101540858946</v>
      </c>
      <c r="AV115" s="130">
        <f t="shared" si="98"/>
        <v>301.0569603551666</v>
      </c>
      <c r="AW115" s="130">
        <f t="shared" si="99"/>
        <v>485.8681677739959</v>
      </c>
      <c r="AX115" s="130">
        <f t="shared" si="100"/>
        <v>1517.5395977918413</v>
      </c>
      <c r="AY115" s="130">
        <f t="shared" si="101"/>
        <v>623.3111351915887</v>
      </c>
      <c r="AZ115" s="130">
        <f t="shared" si="102"/>
        <v>4070.261456194711</v>
      </c>
      <c r="BA115" s="130">
        <f t="shared" si="103"/>
        <v>2492.0075712614607</v>
      </c>
      <c r="BB115" s="130">
        <f t="shared" si="104"/>
        <v>924.9727173758997</v>
      </c>
      <c r="BC115" s="130">
        <f t="shared" si="105"/>
        <v>1567.034853885561</v>
      </c>
      <c r="BD115" s="129">
        <f t="shared" si="106"/>
        <v>9683.759293604508</v>
      </c>
      <c r="BE115" s="129">
        <f t="shared" si="57"/>
        <v>1272.783918312667</v>
      </c>
      <c r="BF115" s="130">
        <f t="shared" si="107"/>
        <v>62.20619741963424</v>
      </c>
      <c r="BG115" s="137">
        <f t="shared" si="108"/>
        <v>5.325138775207398</v>
      </c>
      <c r="BH115" s="47"/>
      <c r="BI115" s="47"/>
      <c r="BJ115" s="47"/>
    </row>
    <row r="116" spans="1:62" ht="16.5" thickBot="1">
      <c r="A116" s="108">
        <f>IF(Data!A116&gt;0,Data!A116,"")</f>
        <v>96</v>
      </c>
      <c r="B116" s="109">
        <f>IF(A116&gt;0,IF(Data!$F$5="lb",Data!B116/2.204,Data!B116),"")</f>
        <v>50.23917182603895</v>
      </c>
      <c r="C116" s="109">
        <f>IF(A116&gt;0,Data!C116,"")</f>
        <v>1.9344481229782104</v>
      </c>
      <c r="D116" s="110">
        <f>IF(A116&gt;0,Data!D116,"")</f>
        <v>27.44159507751465</v>
      </c>
      <c r="E116" s="143">
        <f t="shared" si="58"/>
        <v>-0.3259036297261899</v>
      </c>
      <c r="F116" s="144">
        <f t="shared" si="59"/>
        <v>19.252235526384755</v>
      </c>
      <c r="G116" s="145">
        <f t="shared" si="60"/>
        <v>-9.156583612618999</v>
      </c>
      <c r="H116" s="111">
        <f>IF(A116&gt;0,IF(Data!$F$4="F",(Data!F116-32)/1.8,Data!F116),"")</f>
        <v>120.98270840115018</v>
      </c>
      <c r="I116" s="123">
        <f>IF(A116&gt;0,IF(Data!$F$4="F",(Data!G116-32)/1.8,Data!G116),"")</f>
        <v>26.46503448486328</v>
      </c>
      <c r="J116" s="136">
        <f t="shared" si="61"/>
        <v>0.9426218240617769</v>
      </c>
      <c r="K116" s="128">
        <f t="shared" si="62"/>
        <v>0.8626490576314328</v>
      </c>
      <c r="L116" s="128">
        <f t="shared" si="63"/>
        <v>0.8131518282297141</v>
      </c>
      <c r="M116" s="155">
        <f t="shared" si="64"/>
        <v>4.10871983782137</v>
      </c>
      <c r="N116" s="130">
        <f t="shared" si="65"/>
        <v>50.23917182603895</v>
      </c>
      <c r="O116" s="130">
        <f t="shared" si="66"/>
        <v>57.08915877205477</v>
      </c>
      <c r="P116" s="130">
        <f t="shared" si="56"/>
        <v>45.62781903712909</v>
      </c>
      <c r="Q116" s="130">
        <f t="shared" si="67"/>
        <v>51.785053566653104</v>
      </c>
      <c r="R116" s="129">
        <f t="shared" si="91"/>
        <v>11273.107775275712</v>
      </c>
      <c r="S116" s="130">
        <f t="shared" si="68"/>
        <v>4.166666666666667</v>
      </c>
      <c r="T116" s="130">
        <f t="shared" si="69"/>
        <v>6.6</v>
      </c>
      <c r="U116" s="134">
        <f t="shared" si="92"/>
        <v>2.68125</v>
      </c>
      <c r="V116" s="130">
        <f t="shared" si="70"/>
        <v>19887</v>
      </c>
      <c r="W116" s="130">
        <f t="shared" si="71"/>
        <v>19.17</v>
      </c>
      <c r="X116" s="130">
        <f t="shared" si="72"/>
        <v>79.78054041212614</v>
      </c>
      <c r="Y116" s="130">
        <f t="shared" si="73"/>
        <v>21.161947058919402</v>
      </c>
      <c r="Z116" s="130">
        <f t="shared" si="74"/>
        <v>7.1206260872913525</v>
      </c>
      <c r="AA116" s="130">
        <f t="shared" si="75"/>
        <v>22.911601761619238</v>
      </c>
      <c r="AB116" s="130">
        <f t="shared" si="76"/>
        <v>0.2932321632211128</v>
      </c>
      <c r="AC116" s="130">
        <f t="shared" si="77"/>
        <v>0.7085022956854896</v>
      </c>
      <c r="AD116" s="130">
        <f t="shared" si="78"/>
        <v>38.73183650162259</v>
      </c>
      <c r="AE116" s="130">
        <f t="shared" si="79"/>
        <v>-12.923858776999202</v>
      </c>
      <c r="AF116" s="130">
        <f t="shared" si="80"/>
        <v>2.730334304854432</v>
      </c>
      <c r="AG116" s="130">
        <f t="shared" si="81"/>
        <v>0.4138760946955084</v>
      </c>
      <c r="AH116" s="130">
        <f t="shared" si="82"/>
        <v>112.60449104817216</v>
      </c>
      <c r="AI116" s="130">
        <f t="shared" si="83"/>
        <v>32.33807695633762</v>
      </c>
      <c r="AJ116" s="130">
        <f t="shared" si="84"/>
        <v>13.175906470369913</v>
      </c>
      <c r="AK116" s="130">
        <f t="shared" si="93"/>
        <v>394.1327084011501</v>
      </c>
      <c r="AL116" s="130">
        <f t="shared" si="85"/>
        <v>3742.8377201498874</v>
      </c>
      <c r="AM116" s="130">
        <f t="shared" si="86"/>
        <v>2826.443746066166</v>
      </c>
      <c r="AN116" s="130">
        <f t="shared" si="87"/>
        <v>2750.8890431525124</v>
      </c>
      <c r="AO116" s="130">
        <f t="shared" si="88"/>
        <v>2719.898996816061</v>
      </c>
      <c r="AP116" s="130">
        <f t="shared" si="89"/>
        <v>3581.835797291021</v>
      </c>
      <c r="AQ116" s="130">
        <f t="shared" si="90"/>
        <v>3292.634802600712</v>
      </c>
      <c r="AR116" s="130">
        <f t="shared" si="94"/>
        <v>299.61503448486326</v>
      </c>
      <c r="AS116" s="130">
        <f t="shared" si="95"/>
        <v>144.9669786289513</v>
      </c>
      <c r="AT116" s="130">
        <f t="shared" si="96"/>
        <v>-36.52855981529173</v>
      </c>
      <c r="AU116" s="130">
        <f t="shared" si="97"/>
        <v>780.1763426570378</v>
      </c>
      <c r="AV116" s="130">
        <f t="shared" si="98"/>
        <v>306.27284223890655</v>
      </c>
      <c r="AW116" s="130">
        <f t="shared" si="99"/>
        <v>369.89672516139836</v>
      </c>
      <c r="AX116" s="130">
        <f t="shared" si="100"/>
        <v>1528.3503833288264</v>
      </c>
      <c r="AY116" s="130">
        <f t="shared" si="101"/>
        <v>622.7148797958466</v>
      </c>
      <c r="AZ116" s="130">
        <f t="shared" si="102"/>
        <v>3715.8495919956754</v>
      </c>
      <c r="BA116" s="130">
        <f t="shared" si="103"/>
        <v>2106.3595779796615</v>
      </c>
      <c r="BB116" s="130">
        <f t="shared" si="104"/>
        <v>646.8293570321858</v>
      </c>
      <c r="BC116" s="130">
        <f t="shared" si="105"/>
        <v>1459.5302209474758</v>
      </c>
      <c r="BD116" s="129">
        <f t="shared" si="106"/>
        <v>9166.74819729605</v>
      </c>
      <c r="BE116" s="129">
        <f t="shared" si="57"/>
        <v>435.92620236467485</v>
      </c>
      <c r="BF116" s="130">
        <f t="shared" si="107"/>
        <v>43.335942106520946</v>
      </c>
      <c r="BG116" s="137">
        <f t="shared" si="108"/>
        <v>3.753744513390804</v>
      </c>
      <c r="BH116" s="47"/>
      <c r="BI116" s="47"/>
      <c r="BJ116" s="47"/>
    </row>
    <row r="117" spans="1:62" ht="16.5" thickBot="1">
      <c r="A117" s="108">
        <f>IF(Data!A117&gt;0,Data!A117,"")</f>
        <v>97</v>
      </c>
      <c r="B117" s="109">
        <f>IF(A117&gt;0,IF(Data!$F$5="lb",Data!B117/2.204,Data!B117),"")</f>
        <v>49.36361918648444</v>
      </c>
      <c r="C117" s="109">
        <f>IF(A117&gt;0,Data!C117,"")</f>
        <v>1.3836071491241455</v>
      </c>
      <c r="D117" s="110">
        <f>IF(A117&gt;0,Data!D117,"")</f>
        <v>27.441715240478516</v>
      </c>
      <c r="E117" s="143">
        <f t="shared" si="58"/>
        <v>-0.31302471393688236</v>
      </c>
      <c r="F117" s="144">
        <f t="shared" si="59"/>
        <v>19.283876514013937</v>
      </c>
      <c r="G117" s="145">
        <f t="shared" si="60"/>
        <v>-8.849642301026652</v>
      </c>
      <c r="H117" s="111">
        <f>IF(A117&gt;0,IF(Data!$F$4="F",(Data!F117-32)/1.8,Data!F117),"")</f>
        <v>119.32982550726996</v>
      </c>
      <c r="I117" s="123">
        <f>IF(A117&gt;0,IF(Data!$F$4="F",(Data!G117-32)/1.8,Data!G117),"")</f>
        <v>25.999777052137585</v>
      </c>
      <c r="J117" s="136">
        <f t="shared" si="61"/>
        <v>0.9578332133538386</v>
      </c>
      <c r="K117" s="128">
        <f t="shared" si="62"/>
        <v>0.8642362305090732</v>
      </c>
      <c r="L117" s="128">
        <f t="shared" si="63"/>
        <v>0.8277941657653144</v>
      </c>
      <c r="M117" s="155">
        <f t="shared" si="64"/>
        <v>4.210766095006929</v>
      </c>
      <c r="N117" s="130">
        <f t="shared" si="65"/>
        <v>49.36361918648444</v>
      </c>
      <c r="O117" s="130">
        <f t="shared" si="66"/>
        <v>57.83699554836006</v>
      </c>
      <c r="P117" s="130">
        <f t="shared" si="56"/>
        <v>44.876132317586</v>
      </c>
      <c r="Q117" s="130">
        <f t="shared" si="67"/>
        <v>52.57936141835946</v>
      </c>
      <c r="R117" s="129">
        <f t="shared" si="91"/>
        <v>11456.164809852711</v>
      </c>
      <c r="S117" s="130">
        <f t="shared" si="68"/>
        <v>4.166666666666667</v>
      </c>
      <c r="T117" s="130">
        <f t="shared" si="69"/>
        <v>6.6</v>
      </c>
      <c r="U117" s="134">
        <f t="shared" si="92"/>
        <v>2.68125</v>
      </c>
      <c r="V117" s="130">
        <f t="shared" si="70"/>
        <v>19887</v>
      </c>
      <c r="W117" s="130">
        <f t="shared" si="71"/>
        <v>19.17</v>
      </c>
      <c r="X117" s="130">
        <f t="shared" si="72"/>
        <v>80.02431991142399</v>
      </c>
      <c r="Y117" s="130">
        <f t="shared" si="73"/>
        <v>21.226610056080634</v>
      </c>
      <c r="Z117" s="130">
        <f t="shared" si="74"/>
        <v>6.969291194608298</v>
      </c>
      <c r="AA117" s="130">
        <f t="shared" si="75"/>
        <v>22.571879099676885</v>
      </c>
      <c r="AB117" s="130">
        <f t="shared" si="76"/>
        <v>0.2133909212652476</v>
      </c>
      <c r="AC117" s="130">
        <f t="shared" si="77"/>
        <v>0.6934444738635257</v>
      </c>
      <c r="AD117" s="130">
        <f t="shared" si="78"/>
        <v>39.57305346682916</v>
      </c>
      <c r="AE117" s="130">
        <f t="shared" si="79"/>
        <v>-12.761861453334356</v>
      </c>
      <c r="AF117" s="130">
        <f t="shared" si="80"/>
        <v>1.9952673952614817</v>
      </c>
      <c r="AG117" s="130">
        <f t="shared" si="81"/>
        <v>0.3077260390818895</v>
      </c>
      <c r="AH117" s="130">
        <f t="shared" si="82"/>
        <v>115.40119350229804</v>
      </c>
      <c r="AI117" s="130">
        <f t="shared" si="83"/>
        <v>32.55037706756486</v>
      </c>
      <c r="AJ117" s="130">
        <f t="shared" si="84"/>
        <v>13.175906470369913</v>
      </c>
      <c r="AK117" s="130">
        <f t="shared" si="93"/>
        <v>392.47982550726994</v>
      </c>
      <c r="AL117" s="130">
        <f t="shared" si="85"/>
        <v>3692.9420840027756</v>
      </c>
      <c r="AM117" s="130">
        <f t="shared" si="86"/>
        <v>2790.039567164786</v>
      </c>
      <c r="AN117" s="130">
        <f t="shared" si="87"/>
        <v>2715.7702842339513</v>
      </c>
      <c r="AO117" s="130">
        <f t="shared" si="88"/>
        <v>2685.1103255579624</v>
      </c>
      <c r="AP117" s="130">
        <f t="shared" si="89"/>
        <v>3531.2944059712067</v>
      </c>
      <c r="AQ117" s="130">
        <f t="shared" si="90"/>
        <v>3250.699061498834</v>
      </c>
      <c r="AR117" s="130">
        <f t="shared" si="94"/>
        <v>299.14977705213755</v>
      </c>
      <c r="AS117" s="130">
        <f t="shared" si="95"/>
        <v>146.14099454014536</v>
      </c>
      <c r="AT117" s="130">
        <f t="shared" si="96"/>
        <v>-35.60609840547796</v>
      </c>
      <c r="AU117" s="130">
        <f t="shared" si="97"/>
        <v>570.0653938883845</v>
      </c>
      <c r="AV117" s="130">
        <f t="shared" si="98"/>
        <v>309.8649362547329</v>
      </c>
      <c r="AW117" s="130">
        <f t="shared" si="99"/>
        <v>275.01085128536</v>
      </c>
      <c r="AX117" s="130">
        <f t="shared" si="100"/>
        <v>1537.0190094687257</v>
      </c>
      <c r="AY117" s="130">
        <f t="shared" si="101"/>
        <v>622.1623383933227</v>
      </c>
      <c r="AZ117" s="130">
        <f t="shared" si="102"/>
        <v>3424.6574254251937</v>
      </c>
      <c r="BA117" s="130">
        <f t="shared" si="103"/>
        <v>1972.818418210735</v>
      </c>
      <c r="BB117" s="130">
        <f t="shared" si="104"/>
        <v>483.0688944905926</v>
      </c>
      <c r="BC117" s="130">
        <f t="shared" si="105"/>
        <v>1489.7495237201424</v>
      </c>
      <c r="BD117" s="129">
        <f t="shared" si="106"/>
        <v>9483.346391641977</v>
      </c>
      <c r="BE117" s="129">
        <f t="shared" si="57"/>
        <v>630.3425984258989</v>
      </c>
      <c r="BF117" s="130">
        <f t="shared" si="107"/>
        <v>32.183192002592136</v>
      </c>
      <c r="BG117" s="137">
        <f t="shared" si="108"/>
        <v>2.8363133464114667</v>
      </c>
      <c r="BH117" s="47"/>
      <c r="BI117" s="47"/>
      <c r="BJ117" s="47"/>
    </row>
    <row r="118" spans="1:62" ht="16.5" thickBot="1">
      <c r="A118" s="108">
        <f>IF(Data!A118&gt;0,Data!A118,"")</f>
        <v>98</v>
      </c>
      <c r="B118" s="109">
        <f>IF(A118&gt;0,IF(Data!$F$5="lb",Data!B118/2.204,Data!B118),"")</f>
        <v>48.89812227169528</v>
      </c>
      <c r="C118" s="109">
        <f>IF(A118&gt;0,Data!C118,"")</f>
        <v>0.7922402024269104</v>
      </c>
      <c r="D118" s="110">
        <f>IF(A118&gt;0,Data!D118,"")</f>
        <v>27.44159507751465</v>
      </c>
      <c r="E118" s="143">
        <f t="shared" si="58"/>
        <v>-0.29863286733392513</v>
      </c>
      <c r="F118" s="144">
        <f t="shared" si="59"/>
        <v>19.3178596792576</v>
      </c>
      <c r="G118" s="145">
        <f t="shared" si="60"/>
        <v>-8.519855499470502</v>
      </c>
      <c r="H118" s="111">
        <f>IF(A118&gt;0,IF(Data!$F$4="F",(Data!F118-32)/1.8,Data!F118),"")</f>
        <v>118.15384758843315</v>
      </c>
      <c r="I118" s="123">
        <f>IF(A118&gt;0,IF(Data!$F$4="F",(Data!G118-32)/1.8,Data!G118),"")</f>
        <v>25.9335454305013</v>
      </c>
      <c r="J118" s="136">
        <f t="shared" si="61"/>
        <v>0.9749163864920155</v>
      </c>
      <c r="K118" s="128">
        <f t="shared" si="62"/>
        <v>0.8658961258408862</v>
      </c>
      <c r="L118" s="128">
        <f t="shared" si="63"/>
        <v>0.8441763220822321</v>
      </c>
      <c r="M118" s="155">
        <f t="shared" si="64"/>
        <v>4.3254078820910875</v>
      </c>
      <c r="N118" s="130">
        <f t="shared" si="65"/>
        <v>48.89812227169528</v>
      </c>
      <c r="O118" s="130">
        <f t="shared" si="66"/>
        <v>58.23459095999984</v>
      </c>
      <c r="P118" s="130">
        <f t="shared" si="56"/>
        <v>44.475693044284256</v>
      </c>
      <c r="Q118" s="130">
        <f t="shared" si="67"/>
        <v>53.00250586224229</v>
      </c>
      <c r="R118" s="129">
        <f t="shared" si="91"/>
        <v>8337.845917405184</v>
      </c>
      <c r="S118" s="130">
        <f t="shared" si="68"/>
        <v>4.166666666666667</v>
      </c>
      <c r="T118" s="130">
        <f t="shared" si="69"/>
        <v>6.6</v>
      </c>
      <c r="U118" s="134">
        <f t="shared" si="92"/>
        <v>2.68125</v>
      </c>
      <c r="V118" s="130">
        <f t="shared" si="70"/>
        <v>19887</v>
      </c>
      <c r="W118" s="130">
        <f t="shared" si="71"/>
        <v>19.17</v>
      </c>
      <c r="X118" s="130">
        <f t="shared" si="72"/>
        <v>80.28602021952895</v>
      </c>
      <c r="Y118" s="130">
        <f t="shared" si="73"/>
        <v>21.29602658342943</v>
      </c>
      <c r="Z118" s="130">
        <f t="shared" si="74"/>
        <v>6.806762527879811</v>
      </c>
      <c r="AA118" s="130">
        <f t="shared" si="75"/>
        <v>22.2069658362214</v>
      </c>
      <c r="AB118" s="130">
        <f t="shared" si="76"/>
        <v>0.12767525289098813</v>
      </c>
      <c r="AC118" s="130">
        <f t="shared" si="77"/>
        <v>0.6772728715240413</v>
      </c>
      <c r="AD118" s="130">
        <f t="shared" si="78"/>
        <v>40.51778275979647</v>
      </c>
      <c r="AE118" s="130">
        <f t="shared" si="79"/>
        <v>-12.579649736004628</v>
      </c>
      <c r="AF118" s="130">
        <f t="shared" si="80"/>
        <v>1.1697503853124407</v>
      </c>
      <c r="AG118" s="130">
        <f t="shared" si="81"/>
        <v>0.18851375606361642</v>
      </c>
      <c r="AH118" s="130">
        <f t="shared" si="82"/>
        <v>118.54309185434283</v>
      </c>
      <c r="AI118" s="130">
        <f t="shared" si="83"/>
        <v>32.78880163360141</v>
      </c>
      <c r="AJ118" s="130">
        <f t="shared" si="84"/>
        <v>13.175906470369913</v>
      </c>
      <c r="AK118" s="130">
        <f t="shared" si="93"/>
        <v>391.30384758843314</v>
      </c>
      <c r="AL118" s="130">
        <f t="shared" si="85"/>
        <v>3647.369868603686</v>
      </c>
      <c r="AM118" s="130">
        <f t="shared" si="86"/>
        <v>2756.3489353497803</v>
      </c>
      <c r="AN118" s="130">
        <f t="shared" si="87"/>
        <v>2683.157502386398</v>
      </c>
      <c r="AO118" s="130">
        <f t="shared" si="88"/>
        <v>2652.8277406268166</v>
      </c>
      <c r="AP118" s="130">
        <f t="shared" si="89"/>
        <v>3486.097752885684</v>
      </c>
      <c r="AQ118" s="130">
        <f t="shared" si="90"/>
        <v>3211.719950479648</v>
      </c>
      <c r="AR118" s="130">
        <f t="shared" si="94"/>
        <v>299.08354543050126</v>
      </c>
      <c r="AS118" s="130">
        <f t="shared" si="95"/>
        <v>147.78333998071156</v>
      </c>
      <c r="AT118" s="130">
        <f t="shared" si="96"/>
        <v>-34.6739041569095</v>
      </c>
      <c r="AU118" s="130">
        <f t="shared" si="97"/>
        <v>334.169795312994</v>
      </c>
      <c r="AV118" s="130">
        <f t="shared" si="98"/>
        <v>314.4744025308735</v>
      </c>
      <c r="AW118" s="130">
        <f t="shared" si="99"/>
        <v>168.46382842396596</v>
      </c>
      <c r="AX118" s="130">
        <f t="shared" si="100"/>
        <v>1546.9992673867775</v>
      </c>
      <c r="AY118" s="130">
        <f t="shared" si="101"/>
        <v>621.6487532722357</v>
      </c>
      <c r="AZ118" s="130">
        <f t="shared" si="102"/>
        <v>3098.865482750649</v>
      </c>
      <c r="BA118" s="130">
        <f t="shared" si="103"/>
        <v>1299.2338167617208</v>
      </c>
      <c r="BB118" s="130">
        <f t="shared" si="104"/>
        <v>209.14295996315298</v>
      </c>
      <c r="BC118" s="130">
        <f t="shared" si="105"/>
        <v>1090.090856798568</v>
      </c>
      <c r="BD118" s="129">
        <f t="shared" si="106"/>
        <v>7038.612100643463</v>
      </c>
      <c r="BE118" s="129">
        <f t="shared" si="57"/>
        <v>199.75425487034602</v>
      </c>
      <c r="BF118" s="130">
        <f t="shared" si="107"/>
        <v>13.732064026132313</v>
      </c>
      <c r="BG118" s="137">
        <f t="shared" si="108"/>
        <v>1.2645838196769676</v>
      </c>
      <c r="BH118" s="47"/>
      <c r="BI118" s="47"/>
      <c r="BJ118" s="47"/>
    </row>
    <row r="119" spans="1:62" ht="16.5" thickBot="1">
      <c r="A119" s="108">
        <f>IF(Data!A119&gt;0,Data!A119,"")</f>
        <v>99</v>
      </c>
      <c r="B119" s="109">
        <f>IF(A119&gt;0,IF(Data!$F$5="lb",Data!B119/2.204,Data!B119),"")</f>
        <v>48.389594048640255</v>
      </c>
      <c r="C119" s="109">
        <f>IF(A119&gt;0,Data!C119,"")</f>
        <v>0.39888155460357666</v>
      </c>
      <c r="D119" s="110">
        <f>IF(A119&gt;0,Data!D119,"")</f>
        <v>27.441532135009766</v>
      </c>
      <c r="E119" s="143">
        <f t="shared" si="58"/>
        <v>-0.28872162909537935</v>
      </c>
      <c r="F119" s="144">
        <f t="shared" si="59"/>
        <v>19.340463233411484</v>
      </c>
      <c r="G119" s="145">
        <f t="shared" si="60"/>
        <v>-8.30050967890007</v>
      </c>
      <c r="H119" s="111">
        <f>IF(A119&gt;0,IF(Data!$F$4="F",(Data!F119-32)/1.8,Data!F119),"")</f>
        <v>116.93002488878038</v>
      </c>
      <c r="I119" s="123">
        <f>IF(A119&gt;0,IF(Data!$F$4="F",(Data!G119-32)/1.8,Data!G119),"")</f>
        <v>26.57962375217014</v>
      </c>
      <c r="J119" s="136">
        <f t="shared" si="61"/>
        <v>0.9867386739860414</v>
      </c>
      <c r="K119" s="128">
        <f t="shared" si="62"/>
        <v>0.8673742670143528</v>
      </c>
      <c r="L119" s="128">
        <f t="shared" si="63"/>
        <v>0.8558717340833571</v>
      </c>
      <c r="M119" s="155">
        <f t="shared" si="64"/>
        <v>4.404742235829722</v>
      </c>
      <c r="N119" s="130">
        <f t="shared" si="65"/>
        <v>48.389594048640255</v>
      </c>
      <c r="O119" s="130">
        <f t="shared" si="66"/>
        <v>58.66894075213025</v>
      </c>
      <c r="P119" s="130">
        <f t="shared" si="56"/>
        <v>44.03761007517587</v>
      </c>
      <c r="Q119" s="130">
        <f t="shared" si="67"/>
        <v>53.46542842428134</v>
      </c>
      <c r="R119" s="129">
        <f t="shared" si="91"/>
        <v>8154.108892571646</v>
      </c>
      <c r="S119" s="130">
        <f t="shared" si="68"/>
        <v>4.166666666666667</v>
      </c>
      <c r="T119" s="130">
        <f t="shared" si="69"/>
        <v>6.6</v>
      </c>
      <c r="U119" s="134">
        <f t="shared" si="92"/>
        <v>2.68125</v>
      </c>
      <c r="V119" s="130">
        <f t="shared" si="70"/>
        <v>19887</v>
      </c>
      <c r="W119" s="130">
        <f t="shared" si="71"/>
        <v>19.17</v>
      </c>
      <c r="X119" s="130">
        <f t="shared" si="72"/>
        <v>80.46009598928673</v>
      </c>
      <c r="Y119" s="130">
        <f t="shared" si="73"/>
        <v>21.34220052766226</v>
      </c>
      <c r="Z119" s="130">
        <f t="shared" si="74"/>
        <v>6.698657666634637</v>
      </c>
      <c r="AA119" s="130">
        <f t="shared" si="75"/>
        <v>21.964250457165672</v>
      </c>
      <c r="AB119" s="130">
        <f t="shared" si="76"/>
        <v>0.07065992136431376</v>
      </c>
      <c r="AC119" s="130">
        <f t="shared" si="77"/>
        <v>0.6665164378301465</v>
      </c>
      <c r="AD119" s="130">
        <f t="shared" si="78"/>
        <v>41.171575939441276</v>
      </c>
      <c r="AE119" s="130">
        <f t="shared" si="79"/>
        <v>-12.453570846538302</v>
      </c>
      <c r="AF119" s="130">
        <f t="shared" si="80"/>
        <v>0.5984571901964505</v>
      </c>
      <c r="AG119" s="130">
        <f t="shared" si="81"/>
        <v>0.10601377153479982</v>
      </c>
      <c r="AH119" s="130">
        <f t="shared" si="82"/>
        <v>120.7173468237718</v>
      </c>
      <c r="AI119" s="130">
        <f t="shared" si="83"/>
        <v>32.953801602659034</v>
      </c>
      <c r="AJ119" s="130">
        <f t="shared" si="84"/>
        <v>13.175906470369913</v>
      </c>
      <c r="AK119" s="130">
        <f t="shared" si="93"/>
        <v>390.0800248887804</v>
      </c>
      <c r="AL119" s="130">
        <f t="shared" si="85"/>
        <v>3572.65723728337</v>
      </c>
      <c r="AM119" s="130">
        <f t="shared" si="86"/>
        <v>2700.225046322458</v>
      </c>
      <c r="AN119" s="130">
        <f t="shared" si="87"/>
        <v>2628.6064153679263</v>
      </c>
      <c r="AO119" s="130">
        <f t="shared" si="88"/>
        <v>2598.8759738974877</v>
      </c>
      <c r="AP119" s="130">
        <f t="shared" si="89"/>
        <v>3413.9504563475207</v>
      </c>
      <c r="AQ119" s="130">
        <f t="shared" si="90"/>
        <v>3146.4488795663256</v>
      </c>
      <c r="AR119" s="130">
        <f t="shared" si="94"/>
        <v>299.72962375217014</v>
      </c>
      <c r="AS119" s="130">
        <f t="shared" si="95"/>
        <v>147.09192875040674</v>
      </c>
      <c r="AT119" s="130">
        <f t="shared" si="96"/>
        <v>-33.6274439159739</v>
      </c>
      <c r="AU119" s="130">
        <f t="shared" si="97"/>
        <v>170.93230403473757</v>
      </c>
      <c r="AV119" s="130">
        <f t="shared" si="98"/>
        <v>313.72941229295077</v>
      </c>
      <c r="AW119" s="130">
        <f t="shared" si="99"/>
        <v>94.73072057804163</v>
      </c>
      <c r="AX119" s="130">
        <f t="shared" si="100"/>
        <v>1552.6331547974526</v>
      </c>
      <c r="AY119" s="130">
        <f t="shared" si="101"/>
        <v>620.7887477466609</v>
      </c>
      <c r="AZ119" s="130">
        <f t="shared" si="102"/>
        <v>2866.278824284276</v>
      </c>
      <c r="BA119" s="130">
        <f t="shared" si="103"/>
        <v>1175.2375747818282</v>
      </c>
      <c r="BB119" s="130">
        <f t="shared" si="104"/>
        <v>108.13410203312141</v>
      </c>
      <c r="BC119" s="130">
        <f t="shared" si="105"/>
        <v>1067.1034727487067</v>
      </c>
      <c r="BD119" s="129">
        <f t="shared" si="106"/>
        <v>6978.871317789817</v>
      </c>
      <c r="BE119" s="129">
        <f t="shared" si="57"/>
        <v>115.534741088766</v>
      </c>
      <c r="BF119" s="130">
        <f t="shared" si="107"/>
        <v>6.87065835466993</v>
      </c>
      <c r="BG119" s="137">
        <f t="shared" si="108"/>
        <v>0.6954877756982712</v>
      </c>
      <c r="BH119" s="47"/>
      <c r="BI119" s="47"/>
      <c r="BJ119" s="47"/>
    </row>
    <row r="120" spans="1:62" ht="16.5" thickBot="1">
      <c r="A120" s="108">
        <f>IF(Data!A120&gt;0,Data!A120,"")</f>
        <v>100</v>
      </c>
      <c r="B120" s="109">
        <f>IF(A120&gt;0,IF(Data!$F$5="lb",Data!B120/2.204,Data!B120),"")</f>
        <v>47.94682608325771</v>
      </c>
      <c r="C120" s="109">
        <f>IF(A120&gt;0,Data!C120,"")</f>
        <v>0.22815874218940735</v>
      </c>
      <c r="D120" s="110">
        <f>IF(A120&gt;0,Data!D120,"")</f>
        <v>27.44156265258789</v>
      </c>
      <c r="E120" s="143">
        <f t="shared" si="58"/>
        <v>-0.28433380980133083</v>
      </c>
      <c r="F120" s="144">
        <f t="shared" si="59"/>
        <v>19.350270149515804</v>
      </c>
      <c r="G120" s="145">
        <f t="shared" si="60"/>
        <v>-8.20537187416679</v>
      </c>
      <c r="H120" s="111">
        <f>IF(A120&gt;0,IF(Data!$F$4="F",(Data!F120-32)/1.8,Data!F120),"")</f>
        <v>115.88123745388455</v>
      </c>
      <c r="I120" s="123">
        <f>IF(A120&gt;0,IF(Data!$F$4="F",(Data!G120-32)/1.8,Data!G120),"")</f>
        <v>26.525145636664497</v>
      </c>
      <c r="J120" s="136">
        <f t="shared" si="61"/>
        <v>0.9919892944607335</v>
      </c>
      <c r="K120" s="128">
        <f t="shared" si="62"/>
        <v>0.8680813595675598</v>
      </c>
      <c r="L120" s="128">
        <f t="shared" si="63"/>
        <v>0.8611274154119379</v>
      </c>
      <c r="M120" s="155">
        <f t="shared" si="64"/>
        <v>4.439967755641512</v>
      </c>
      <c r="N120" s="130">
        <f t="shared" si="65"/>
        <v>47.94682608325771</v>
      </c>
      <c r="O120" s="130">
        <f t="shared" si="66"/>
        <v>59.047122660246465</v>
      </c>
      <c r="P120" s="130">
        <f t="shared" si="56"/>
        <v>43.655648905643766</v>
      </c>
      <c r="Q120" s="130">
        <f t="shared" si="67"/>
        <v>53.86904704373854</v>
      </c>
      <c r="R120" s="129">
        <f t="shared" si="91"/>
        <v>7630.553460081443</v>
      </c>
      <c r="S120" s="130">
        <f t="shared" si="68"/>
        <v>4.166666666666667</v>
      </c>
      <c r="T120" s="130">
        <f t="shared" si="69"/>
        <v>6.6</v>
      </c>
      <c r="U120" s="134">
        <f t="shared" si="92"/>
        <v>2.68125</v>
      </c>
      <c r="V120" s="130">
        <f t="shared" si="70"/>
        <v>19887</v>
      </c>
      <c r="W120" s="130">
        <f t="shared" si="71"/>
        <v>19.17</v>
      </c>
      <c r="X120" s="130">
        <f t="shared" si="72"/>
        <v>80.53565047938949</v>
      </c>
      <c r="Y120" s="130">
        <f t="shared" si="73"/>
        <v>21.36224150646936</v>
      </c>
      <c r="Z120" s="130">
        <f t="shared" si="74"/>
        <v>6.651752642806048</v>
      </c>
      <c r="AA120" s="130">
        <f t="shared" si="75"/>
        <v>21.858954487430818</v>
      </c>
      <c r="AB120" s="130">
        <f t="shared" si="76"/>
        <v>0.045914616914568995</v>
      </c>
      <c r="AC120" s="130">
        <f t="shared" si="77"/>
        <v>0.6618493879592017</v>
      </c>
      <c r="AD120" s="130">
        <f t="shared" si="78"/>
        <v>41.461944593169996</v>
      </c>
      <c r="AE120" s="130">
        <f t="shared" si="79"/>
        <v>-12.39764215763329</v>
      </c>
      <c r="AF120" s="130">
        <f t="shared" si="80"/>
        <v>0.3447290974959272</v>
      </c>
      <c r="AG120" s="130">
        <f t="shared" si="81"/>
        <v>0.0693732105066165</v>
      </c>
      <c r="AH120" s="130">
        <f t="shared" si="82"/>
        <v>121.68274526583673</v>
      </c>
      <c r="AI120" s="130">
        <f t="shared" si="83"/>
        <v>33.02708272471541</v>
      </c>
      <c r="AJ120" s="130">
        <f t="shared" si="84"/>
        <v>13.175906470369913</v>
      </c>
      <c r="AK120" s="130">
        <f t="shared" si="93"/>
        <v>389.0312374538845</v>
      </c>
      <c r="AL120" s="130">
        <f t="shared" si="85"/>
        <v>3531.9105589175765</v>
      </c>
      <c r="AM120" s="130">
        <f t="shared" si="86"/>
        <v>2670.0653496602376</v>
      </c>
      <c r="AN120" s="130">
        <f t="shared" si="87"/>
        <v>2599.4024761864553</v>
      </c>
      <c r="AO120" s="130">
        <f t="shared" si="88"/>
        <v>2569.969644213189</v>
      </c>
      <c r="AP120" s="130">
        <f t="shared" si="89"/>
        <v>3373.6194744271206</v>
      </c>
      <c r="AQ120" s="130">
        <f t="shared" si="90"/>
        <v>3111.5411368092855</v>
      </c>
      <c r="AR120" s="130">
        <f t="shared" si="94"/>
        <v>299.67514563666447</v>
      </c>
      <c r="AS120" s="130">
        <f t="shared" si="95"/>
        <v>146.43987990187264</v>
      </c>
      <c r="AT120" s="130">
        <f t="shared" si="96"/>
        <v>-33.10251474258364</v>
      </c>
      <c r="AU120" s="130">
        <f t="shared" si="97"/>
        <v>98.45201115730936</v>
      </c>
      <c r="AV120" s="130">
        <f t="shared" si="98"/>
        <v>312.7209615577265</v>
      </c>
      <c r="AW120" s="130">
        <f t="shared" si="99"/>
        <v>61.98701838569637</v>
      </c>
      <c r="AX120" s="130">
        <f t="shared" si="100"/>
        <v>1554.9329268497672</v>
      </c>
      <c r="AY120" s="130">
        <f t="shared" si="101"/>
        <v>620.3288065930024</v>
      </c>
      <c r="AZ120" s="130">
        <f t="shared" si="102"/>
        <v>2761.759089702791</v>
      </c>
      <c r="BA120" s="130">
        <f t="shared" si="103"/>
        <v>1059.67468083889</v>
      </c>
      <c r="BB120" s="130">
        <f t="shared" si="104"/>
        <v>61.12599426267058</v>
      </c>
      <c r="BC120" s="130">
        <f t="shared" si="105"/>
        <v>998.5486865762194</v>
      </c>
      <c r="BD120" s="129">
        <f t="shared" si="106"/>
        <v>6570.878779242553</v>
      </c>
      <c r="BE120" s="129">
        <f t="shared" si="57"/>
        <v>60.84981416551991</v>
      </c>
      <c r="BF120" s="130">
        <f t="shared" si="107"/>
        <v>3.703588606389722</v>
      </c>
      <c r="BG120" s="137">
        <f t="shared" si="108"/>
        <v>0.4258910777639429</v>
      </c>
      <c r="BH120" s="47"/>
      <c r="BI120" s="47"/>
      <c r="BJ120" s="47"/>
    </row>
    <row r="121" spans="1:62" ht="16.5" thickBot="1">
      <c r="A121" s="108">
        <f>IF(Data!A121&gt;0,Data!A121,"")</f>
        <v>101</v>
      </c>
      <c r="B121" s="109">
        <f>IF(A121&gt;0,IF(Data!$F$5="lb",Data!B121/2.204,Data!B121),"")</f>
        <v>47.50061035156249</v>
      </c>
      <c r="C121" s="109">
        <f>IF(A121&gt;0,Data!C121,"")</f>
        <v>0.14813128113746643</v>
      </c>
      <c r="D121" s="110">
        <f>IF(A121&gt;0,Data!D121,"")</f>
        <v>27.441532135009766</v>
      </c>
      <c r="E121" s="143">
        <f t="shared" si="58"/>
        <v>-0.282257133921057</v>
      </c>
      <c r="F121" s="144">
        <f t="shared" si="59"/>
        <v>19.35486978232677</v>
      </c>
      <c r="G121" s="145">
        <f t="shared" si="60"/>
        <v>-8.16072799325173</v>
      </c>
      <c r="H121" s="111">
        <f>IF(A121&gt;0,IF(Data!$F$4="F",(Data!F121-32)/1.8,Data!F121),"")</f>
        <v>114.6760982937283</v>
      </c>
      <c r="I121" s="123">
        <f>IF(A121&gt;0,IF(Data!$F$4="F",(Data!G121-32)/1.8,Data!G121),"")</f>
        <v>26.42078399658203</v>
      </c>
      <c r="J121" s="136">
        <f t="shared" si="61"/>
        <v>0.994476129884585</v>
      </c>
      <c r="K121" s="128">
        <f t="shared" si="62"/>
        <v>0.8686225366750904</v>
      </c>
      <c r="L121" s="128">
        <f t="shared" si="63"/>
        <v>0.863824378603175</v>
      </c>
      <c r="M121" s="155">
        <f t="shared" si="64"/>
        <v>4.4566586386124865</v>
      </c>
      <c r="N121" s="130">
        <f t="shared" si="65"/>
        <v>47.50061035156249</v>
      </c>
      <c r="O121" s="130">
        <f t="shared" si="66"/>
        <v>59.42824941294227</v>
      </c>
      <c r="P121" s="130">
        <f t="shared" si="56"/>
        <v>43.27021896942021</v>
      </c>
      <c r="Q121" s="130">
        <f t="shared" si="67"/>
        <v>54.27633111124361</v>
      </c>
      <c r="R121" s="129">
        <f t="shared" si="91"/>
        <v>7450.652073517458</v>
      </c>
      <c r="S121" s="130">
        <f t="shared" si="68"/>
        <v>4.166666666666667</v>
      </c>
      <c r="T121" s="130">
        <f t="shared" si="69"/>
        <v>6.6</v>
      </c>
      <c r="U121" s="134">
        <f t="shared" si="92"/>
        <v>2.68125</v>
      </c>
      <c r="V121" s="130">
        <f t="shared" si="70"/>
        <v>19887</v>
      </c>
      <c r="W121" s="130">
        <f t="shared" si="71"/>
        <v>19.17</v>
      </c>
      <c r="X121" s="130">
        <f t="shared" si="72"/>
        <v>80.5710645771045</v>
      </c>
      <c r="Y121" s="130">
        <f t="shared" si="73"/>
        <v>21.371635166340713</v>
      </c>
      <c r="Z121" s="130">
        <f t="shared" si="74"/>
        <v>6.629754823345385</v>
      </c>
      <c r="AA121" s="130">
        <f t="shared" si="75"/>
        <v>21.809560888122693</v>
      </c>
      <c r="AB121" s="130">
        <f t="shared" si="76"/>
        <v>0.034315014458538684</v>
      </c>
      <c r="AC121" s="130">
        <f t="shared" si="77"/>
        <v>0.6596606049228658</v>
      </c>
      <c r="AD121" s="130">
        <f t="shared" si="78"/>
        <v>41.599470894913466</v>
      </c>
      <c r="AE121" s="130">
        <f t="shared" si="79"/>
        <v>-12.37110103642761</v>
      </c>
      <c r="AF121" s="130">
        <f t="shared" si="80"/>
        <v>0.22455681002018824</v>
      </c>
      <c r="AG121" s="130">
        <f t="shared" si="81"/>
        <v>0.05201919623887672</v>
      </c>
      <c r="AH121" s="130">
        <f t="shared" si="82"/>
        <v>122.14017932225265</v>
      </c>
      <c r="AI121" s="130">
        <f t="shared" si="83"/>
        <v>33.06179075325089</v>
      </c>
      <c r="AJ121" s="130">
        <f t="shared" si="84"/>
        <v>13.175906470369913</v>
      </c>
      <c r="AK121" s="130">
        <f t="shared" si="93"/>
        <v>387.82609829372825</v>
      </c>
      <c r="AL121" s="130">
        <f t="shared" si="85"/>
        <v>3486.7251887921416</v>
      </c>
      <c r="AM121" s="130">
        <f t="shared" si="86"/>
        <v>2636.652753026515</v>
      </c>
      <c r="AN121" s="130">
        <f t="shared" si="87"/>
        <v>2567.0568450406336</v>
      </c>
      <c r="AO121" s="130">
        <f t="shared" si="88"/>
        <v>2537.951924945386</v>
      </c>
      <c r="AP121" s="130">
        <f t="shared" si="89"/>
        <v>3328.8238913980617</v>
      </c>
      <c r="AQ121" s="130">
        <f t="shared" si="90"/>
        <v>3072.8806919861468</v>
      </c>
      <c r="AR121" s="130">
        <f t="shared" si="94"/>
        <v>299.570783996582</v>
      </c>
      <c r="AS121" s="130">
        <f t="shared" si="95"/>
        <v>145.04592300972035</v>
      </c>
      <c r="AT121" s="130">
        <f t="shared" si="96"/>
        <v>-32.61829760566603</v>
      </c>
      <c r="AU121" s="130">
        <f t="shared" si="97"/>
        <v>64.12445543430594</v>
      </c>
      <c r="AV121" s="130">
        <f t="shared" si="98"/>
        <v>309.98590322408575</v>
      </c>
      <c r="AW121" s="130">
        <f t="shared" si="99"/>
        <v>46.478362390464845</v>
      </c>
      <c r="AX121" s="130">
        <f t="shared" si="100"/>
        <v>1555.2888160778393</v>
      </c>
      <c r="AY121" s="130">
        <f t="shared" si="101"/>
        <v>619.8194201879098</v>
      </c>
      <c r="AZ121" s="130">
        <f t="shared" si="102"/>
        <v>2708.1245827186603</v>
      </c>
      <c r="BA121" s="130">
        <f t="shared" si="103"/>
        <v>1014.5971759227832</v>
      </c>
      <c r="BB121" s="130">
        <f t="shared" si="104"/>
        <v>41.156342017099234</v>
      </c>
      <c r="BC121" s="130">
        <f t="shared" si="105"/>
        <v>973.440833905684</v>
      </c>
      <c r="BD121" s="129">
        <f t="shared" si="106"/>
        <v>6436.054897594675</v>
      </c>
      <c r="BE121" s="129">
        <f t="shared" si="57"/>
        <v>42.3407137914203</v>
      </c>
      <c r="BF121" s="130">
        <f t="shared" si="107"/>
        <v>2.3556419038358065</v>
      </c>
      <c r="BG121" s="137">
        <f t="shared" si="108"/>
        <v>0.3118233477708239</v>
      </c>
      <c r="BH121" s="47"/>
      <c r="BI121" s="47"/>
      <c r="BJ121" s="47"/>
    </row>
    <row r="122" spans="1:62" ht="16.5" thickBot="1">
      <c r="A122" s="108">
        <f>IF(Data!A122&gt;0,Data!A122,"")</f>
        <v>102</v>
      </c>
      <c r="B122" s="109">
        <f>IF(A122&gt;0,IF(Data!$F$5="lb",Data!B122/2.204,Data!B122),"")</f>
        <v>47.079879013033825</v>
      </c>
      <c r="C122" s="109">
        <f>IF(A122&gt;0,Data!C122,"")</f>
        <v>0.11073879897594452</v>
      </c>
      <c r="D122" s="110">
        <f>IF(A122&gt;0,Data!D122,"")</f>
        <v>27.44174575805664</v>
      </c>
      <c r="E122" s="143">
        <f t="shared" si="58"/>
        <v>-0.28128862377297015</v>
      </c>
      <c r="F122" s="144">
        <f t="shared" si="59"/>
        <v>19.357005848002974</v>
      </c>
      <c r="G122" s="145">
        <f t="shared" si="60"/>
        <v>-8.14010930954164</v>
      </c>
      <c r="H122" s="111">
        <f>IF(A122&gt;0,IF(Data!$F$4="F",(Data!F122-32)/1.8,Data!F122),"")</f>
        <v>114.02101304796007</v>
      </c>
      <c r="I122" s="123">
        <f>IF(A122&gt;0,IF(Data!$F$4="F",(Data!G122-32)/1.8,Data!G122),"")</f>
        <v>26.410001118977863</v>
      </c>
      <c r="J122" s="136">
        <f t="shared" si="61"/>
        <v>0.9956437685730566</v>
      </c>
      <c r="K122" s="128">
        <f t="shared" si="62"/>
        <v>0.8689179656962587</v>
      </c>
      <c r="L122" s="128">
        <f t="shared" si="63"/>
        <v>0.8651327579466569</v>
      </c>
      <c r="M122" s="155">
        <f t="shared" si="64"/>
        <v>4.464459183977448</v>
      </c>
      <c r="N122" s="130">
        <f t="shared" si="65"/>
        <v>47.079879013033825</v>
      </c>
      <c r="O122" s="130">
        <f t="shared" si="66"/>
        <v>59.787609151787876</v>
      </c>
      <c r="P122" s="130">
        <f t="shared" si="56"/>
        <v>42.90635016038128</v>
      </c>
      <c r="Q122" s="130">
        <f t="shared" si="67"/>
        <v>54.66083152144953</v>
      </c>
      <c r="R122" s="129">
        <f t="shared" si="91"/>
        <v>7572.853348493314</v>
      </c>
      <c r="S122" s="130">
        <f t="shared" si="68"/>
        <v>4.166666666666667</v>
      </c>
      <c r="T122" s="130">
        <f t="shared" si="69"/>
        <v>6.6</v>
      </c>
      <c r="U122" s="134">
        <f t="shared" si="92"/>
        <v>2.68125</v>
      </c>
      <c r="V122" s="130">
        <f t="shared" si="70"/>
        <v>19887</v>
      </c>
      <c r="W122" s="130">
        <f t="shared" si="71"/>
        <v>19.17</v>
      </c>
      <c r="X122" s="130">
        <f t="shared" si="72"/>
        <v>80.58762475250906</v>
      </c>
      <c r="Y122" s="130">
        <f t="shared" si="73"/>
        <v>21.37602778581142</v>
      </c>
      <c r="Z122" s="130">
        <f t="shared" si="74"/>
        <v>6.619531221835044</v>
      </c>
      <c r="AA122" s="130">
        <f t="shared" si="75"/>
        <v>21.78666196416211</v>
      </c>
      <c r="AB122" s="130">
        <f t="shared" si="76"/>
        <v>0.02889553394676625</v>
      </c>
      <c r="AC122" s="130">
        <f t="shared" si="77"/>
        <v>0.6586433565725869</v>
      </c>
      <c r="AD122" s="130">
        <f t="shared" si="78"/>
        <v>41.66404395370589</v>
      </c>
      <c r="AE122" s="130">
        <f t="shared" si="79"/>
        <v>-12.358902930260628</v>
      </c>
      <c r="AF122" s="130">
        <f t="shared" si="80"/>
        <v>0.1681316570961881</v>
      </c>
      <c r="AG122" s="130">
        <f t="shared" si="81"/>
        <v>0.043871290370453724</v>
      </c>
      <c r="AH122" s="130">
        <f t="shared" si="82"/>
        <v>122.3539628060118</v>
      </c>
      <c r="AI122" s="130">
        <f t="shared" si="83"/>
        <v>33.078086564987736</v>
      </c>
      <c r="AJ122" s="130">
        <f t="shared" si="84"/>
        <v>13.175906470369913</v>
      </c>
      <c r="AK122" s="130">
        <f t="shared" si="93"/>
        <v>387.17101304796006</v>
      </c>
      <c r="AL122" s="130">
        <f t="shared" si="85"/>
        <v>3460.424678957769</v>
      </c>
      <c r="AM122" s="130">
        <f t="shared" si="86"/>
        <v>2617.14151731582</v>
      </c>
      <c r="AN122" s="130">
        <f t="shared" si="87"/>
        <v>2548.152863422724</v>
      </c>
      <c r="AO122" s="130">
        <f t="shared" si="88"/>
        <v>2519.2429207510445</v>
      </c>
      <c r="AP122" s="130">
        <f t="shared" si="89"/>
        <v>3302.8885754173175</v>
      </c>
      <c r="AQ122" s="130">
        <f t="shared" si="90"/>
        <v>3050.2810583358455</v>
      </c>
      <c r="AR122" s="130">
        <f t="shared" si="94"/>
        <v>299.5600011189778</v>
      </c>
      <c r="AS122" s="130">
        <f t="shared" si="95"/>
        <v>144.1752859225851</v>
      </c>
      <c r="AT122" s="130">
        <f t="shared" si="96"/>
        <v>-32.344997967261236</v>
      </c>
      <c r="AU122" s="130">
        <f t="shared" si="97"/>
        <v>48.008507200083216</v>
      </c>
      <c r="AV122" s="130">
        <f t="shared" si="98"/>
        <v>308.2393546248818</v>
      </c>
      <c r="AW122" s="130">
        <f t="shared" si="99"/>
        <v>39.19719433475499</v>
      </c>
      <c r="AX122" s="130">
        <f t="shared" si="100"/>
        <v>1555.3078490711212</v>
      </c>
      <c r="AY122" s="130">
        <f t="shared" si="101"/>
        <v>619.5216495286688</v>
      </c>
      <c r="AZ122" s="130">
        <f t="shared" si="102"/>
        <v>2682.1048427148335</v>
      </c>
      <c r="BA122" s="130">
        <f t="shared" si="103"/>
        <v>1021.3298455857173</v>
      </c>
      <c r="BB122" s="130">
        <f t="shared" si="104"/>
        <v>32.98902099983734</v>
      </c>
      <c r="BC122" s="130">
        <f t="shared" si="105"/>
        <v>988.34082458588</v>
      </c>
      <c r="BD122" s="129">
        <f t="shared" si="106"/>
        <v>6551.523502907597</v>
      </c>
      <c r="BE122" s="129">
        <f t="shared" si="57"/>
        <v>31.522818892639467</v>
      </c>
      <c r="BF122" s="130">
        <f t="shared" si="107"/>
        <v>1.7926594613567022</v>
      </c>
      <c r="BG122" s="137">
        <f t="shared" si="108"/>
        <v>0.26729489470276097</v>
      </c>
      <c r="BH122" s="47"/>
      <c r="BI122" s="47"/>
      <c r="BJ122" s="47"/>
    </row>
    <row r="123" spans="1:62" ht="16.5" thickBot="1">
      <c r="A123" s="108">
        <f>IF(Data!A123&gt;0,Data!A123,"")</f>
        <v>103</v>
      </c>
      <c r="B123" s="109">
        <f>IF(A123&gt;0,IF(Data!$F$5="lb",Data!B123/2.204,Data!B123),"")</f>
        <v>46.620581846704496</v>
      </c>
      <c r="C123" s="109">
        <f>IF(A123&gt;0,Data!C123,"")</f>
        <v>0.10265558212995529</v>
      </c>
      <c r="D123" s="110">
        <f>IF(A123&gt;0,Data!D123,"")</f>
        <v>27.441532135009766</v>
      </c>
      <c r="E123" s="143">
        <f t="shared" si="58"/>
        <v>-0.28107213406272813</v>
      </c>
      <c r="F123" s="144">
        <f t="shared" si="59"/>
        <v>19.35748253274635</v>
      </c>
      <c r="G123" s="145">
        <f t="shared" si="60"/>
        <v>-8.135377393328394</v>
      </c>
      <c r="H123" s="111">
        <f>IF(A123&gt;0,IF(Data!$F$4="F",(Data!F123-32)/1.8,Data!F123),"")</f>
        <v>113.75832451714409</v>
      </c>
      <c r="I123" s="123">
        <f>IF(A123&gt;0,IF(Data!$F$4="F",(Data!G123-32)/1.8,Data!G123),"")</f>
        <v>26.773571438259548</v>
      </c>
      <c r="J123" s="136">
        <f t="shared" si="61"/>
        <v>0.9958966448862433</v>
      </c>
      <c r="K123" s="128">
        <f t="shared" si="62"/>
        <v>0.8691381941797042</v>
      </c>
      <c r="L123" s="128">
        <f t="shared" si="63"/>
        <v>0.8655718115260558</v>
      </c>
      <c r="M123" s="155">
        <f t="shared" si="64"/>
        <v>4.466189940625969</v>
      </c>
      <c r="N123" s="130">
        <f t="shared" si="65"/>
        <v>46.620581846704496</v>
      </c>
      <c r="O123" s="130">
        <f t="shared" si="66"/>
        <v>60.17990916519271</v>
      </c>
      <c r="P123" s="130">
        <f t="shared" si="56"/>
        <v>42.50863066062619</v>
      </c>
      <c r="Q123" s="130">
        <f t="shared" si="67"/>
        <v>55.081101978833985</v>
      </c>
      <c r="R123" s="129">
        <f t="shared" si="91"/>
        <v>12129.318017416406</v>
      </c>
      <c r="S123" s="130">
        <f t="shared" si="68"/>
        <v>4.166666666666667</v>
      </c>
      <c r="T123" s="130">
        <f t="shared" si="69"/>
        <v>6.6</v>
      </c>
      <c r="U123" s="134">
        <f t="shared" si="92"/>
        <v>2.68125</v>
      </c>
      <c r="V123" s="130">
        <f t="shared" si="70"/>
        <v>19887</v>
      </c>
      <c r="W123" s="130">
        <f t="shared" si="71"/>
        <v>19.17</v>
      </c>
      <c r="X123" s="130">
        <f t="shared" si="72"/>
        <v>80.59118967618868</v>
      </c>
      <c r="Y123" s="130">
        <f t="shared" si="73"/>
        <v>21.376973388909462</v>
      </c>
      <c r="Z123" s="130">
        <f t="shared" si="74"/>
        <v>6.617258705519184</v>
      </c>
      <c r="AA123" s="130">
        <f t="shared" si="75"/>
        <v>21.781506616499545</v>
      </c>
      <c r="AB123" s="130">
        <f t="shared" si="76"/>
        <v>0.027723555856880466</v>
      </c>
      <c r="AC123" s="130">
        <f t="shared" si="77"/>
        <v>0.6584172411991588</v>
      </c>
      <c r="AD123" s="130">
        <f t="shared" si="78"/>
        <v>41.678027879451015</v>
      </c>
      <c r="AE123" s="130">
        <f t="shared" si="79"/>
        <v>-12.355960452237909</v>
      </c>
      <c r="AF123" s="130">
        <f t="shared" si="80"/>
        <v>0.1559126579720046</v>
      </c>
      <c r="AG123" s="130">
        <f t="shared" si="81"/>
        <v>0.04210636374950973</v>
      </c>
      <c r="AH123" s="130">
        <f t="shared" si="82"/>
        <v>122.40139630822846</v>
      </c>
      <c r="AI123" s="130">
        <f t="shared" si="83"/>
        <v>33.08161641822962</v>
      </c>
      <c r="AJ123" s="130">
        <f t="shared" si="84"/>
        <v>13.175906470369913</v>
      </c>
      <c r="AK123" s="130">
        <f t="shared" si="93"/>
        <v>386.9083245171441</v>
      </c>
      <c r="AL123" s="130">
        <f t="shared" si="85"/>
        <v>3435.8161976578026</v>
      </c>
      <c r="AM123" s="130">
        <f t="shared" si="86"/>
        <v>2598.47321990241</v>
      </c>
      <c r="AN123" s="130">
        <f t="shared" si="87"/>
        <v>2529.962791182535</v>
      </c>
      <c r="AO123" s="130">
        <f t="shared" si="88"/>
        <v>2501.262134395168</v>
      </c>
      <c r="AP123" s="130">
        <f t="shared" si="89"/>
        <v>3279.5246546587987</v>
      </c>
      <c r="AQ123" s="130">
        <f t="shared" si="90"/>
        <v>3028.5021246167603</v>
      </c>
      <c r="AR123" s="130">
        <f t="shared" si="94"/>
        <v>299.9235714382595</v>
      </c>
      <c r="AS123" s="130">
        <f t="shared" si="95"/>
        <v>143.1980432746513</v>
      </c>
      <c r="AT123" s="130">
        <f t="shared" si="96"/>
        <v>-32.10663234131348</v>
      </c>
      <c r="AU123" s="130">
        <f t="shared" si="97"/>
        <v>44.51664404081503</v>
      </c>
      <c r="AV123" s="130">
        <f t="shared" si="98"/>
        <v>306.15797778286833</v>
      </c>
      <c r="AW123" s="130">
        <f t="shared" si="99"/>
        <v>37.619321187843134</v>
      </c>
      <c r="AX123" s="130">
        <f t="shared" si="100"/>
        <v>1554.7533379015035</v>
      </c>
      <c r="AY123" s="130">
        <f t="shared" si="101"/>
        <v>619.2346923349618</v>
      </c>
      <c r="AZ123" s="130">
        <f t="shared" si="102"/>
        <v>2673.3733841813296</v>
      </c>
      <c r="BA123" s="130">
        <f t="shared" si="103"/>
        <v>1630.5222485056606</v>
      </c>
      <c r="BB123" s="130">
        <f t="shared" si="104"/>
        <v>49.77077431717872</v>
      </c>
      <c r="BC123" s="130">
        <f t="shared" si="105"/>
        <v>1580.751474188482</v>
      </c>
      <c r="BD123" s="129">
        <f t="shared" si="106"/>
        <v>10498.795768910746</v>
      </c>
      <c r="BE123" s="129">
        <f t="shared" si="57"/>
        <v>32.45527263243925</v>
      </c>
      <c r="BF123" s="130">
        <f t="shared" si="107"/>
        <v>2.662603606452822</v>
      </c>
      <c r="BG123" s="137">
        <f t="shared" si="108"/>
        <v>0.4108987591691597</v>
      </c>
      <c r="BH123" s="47"/>
      <c r="BI123" s="47"/>
      <c r="BJ123" s="47"/>
    </row>
    <row r="124" spans="1:62" ht="16.5" thickBot="1">
      <c r="A124" s="108">
        <f>IF(Data!A124&gt;0,Data!A124,"")</f>
        <v>104</v>
      </c>
      <c r="B124" s="109">
        <f>IF(A124&gt;0,IF(Data!$F$5="lb",Data!B124/2.204,Data!B124),"")</f>
        <v>45.673069201017675</v>
      </c>
      <c r="C124" s="109">
        <f>IF(A124&gt;0,Data!C124,"")</f>
        <v>0.07962513715028763</v>
      </c>
      <c r="D124" s="110">
        <f>IF(A124&gt;0,Data!D124,"")</f>
        <v>27.441715240478516</v>
      </c>
      <c r="E124" s="143">
        <f t="shared" si="58"/>
        <v>-0.2804753030649806</v>
      </c>
      <c r="F124" s="144">
        <f t="shared" si="59"/>
        <v>19.35879519856999</v>
      </c>
      <c r="G124" s="145">
        <f t="shared" si="60"/>
        <v>-8.12273261048367</v>
      </c>
      <c r="H124" s="111">
        <f>IF(A124&gt;0,IF(Data!$F$4="F",(Data!F124-32)/1.8,Data!F124),"")</f>
        <v>114.3520016140408</v>
      </c>
      <c r="I124" s="123">
        <f>IF(A124&gt;0,IF(Data!$F$4="F",(Data!G124-32)/1.8,Data!G124),"")</f>
        <v>26.492529975043404</v>
      </c>
      <c r="J124" s="136">
        <f t="shared" si="61"/>
        <v>0.996618092179449</v>
      </c>
      <c r="K124" s="128">
        <f t="shared" si="62"/>
        <v>0.8689050633829146</v>
      </c>
      <c r="L124" s="128">
        <f t="shared" si="63"/>
        <v>0.8659665065537435</v>
      </c>
      <c r="M124" s="155">
        <f t="shared" si="64"/>
        <v>4.471001475003035</v>
      </c>
      <c r="N124" s="130">
        <f t="shared" si="65"/>
        <v>45.673069201017675</v>
      </c>
      <c r="O124" s="130">
        <f t="shared" si="66"/>
        <v>60.9892092237471</v>
      </c>
      <c r="P124" s="130">
        <f t="shared" si="56"/>
        <v>41.68652635413435</v>
      </c>
      <c r="Q124" s="130">
        <f t="shared" si="67"/>
        <v>55.94982014105587</v>
      </c>
      <c r="R124" s="129">
        <f t="shared" si="91"/>
        <v>12010.880904762987</v>
      </c>
      <c r="S124" s="130">
        <f t="shared" si="68"/>
        <v>4.166666666666667</v>
      </c>
      <c r="T124" s="130">
        <f t="shared" si="69"/>
        <v>6.6</v>
      </c>
      <c r="U124" s="134">
        <f t="shared" si="92"/>
        <v>2.68125</v>
      </c>
      <c r="V124" s="130">
        <f t="shared" si="70"/>
        <v>19887</v>
      </c>
      <c r="W124" s="130">
        <f t="shared" si="71"/>
        <v>19.17</v>
      </c>
      <c r="X124" s="130">
        <f t="shared" si="72"/>
        <v>80.60139223285486</v>
      </c>
      <c r="Y124" s="130">
        <f t="shared" si="73"/>
        <v>21.37967963736203</v>
      </c>
      <c r="Z124" s="130">
        <f t="shared" si="74"/>
        <v>6.610974264456736</v>
      </c>
      <c r="AA124" s="130">
        <f t="shared" si="75"/>
        <v>21.76744362415869</v>
      </c>
      <c r="AB124" s="130">
        <f t="shared" si="76"/>
        <v>0.024385724274267773</v>
      </c>
      <c r="AC124" s="130">
        <f t="shared" si="77"/>
        <v>0.6577919393134453</v>
      </c>
      <c r="AD124" s="130">
        <f t="shared" si="78"/>
        <v>41.71792568501243</v>
      </c>
      <c r="AE124" s="130">
        <f t="shared" si="79"/>
        <v>-12.348483046115737</v>
      </c>
      <c r="AF124" s="130">
        <f t="shared" si="80"/>
        <v>0.12104912266543502</v>
      </c>
      <c r="AG124" s="130">
        <f t="shared" si="81"/>
        <v>0.03707209349466914</v>
      </c>
      <c r="AH124" s="130">
        <f t="shared" si="82"/>
        <v>122.53326229108349</v>
      </c>
      <c r="AI124" s="130">
        <f t="shared" si="83"/>
        <v>33.0916849587393</v>
      </c>
      <c r="AJ124" s="130">
        <f t="shared" si="84"/>
        <v>13.175906470369913</v>
      </c>
      <c r="AK124" s="130">
        <f t="shared" si="93"/>
        <v>387.50200161404075</v>
      </c>
      <c r="AL124" s="130">
        <f t="shared" si="85"/>
        <v>3470.7650467491103</v>
      </c>
      <c r="AM124" s="130">
        <f t="shared" si="86"/>
        <v>2624.7270691183226</v>
      </c>
      <c r="AN124" s="130">
        <f t="shared" si="87"/>
        <v>2555.481004016568</v>
      </c>
      <c r="AO124" s="130">
        <f t="shared" si="88"/>
        <v>2526.4999738635784</v>
      </c>
      <c r="AP124" s="130">
        <f t="shared" si="89"/>
        <v>3313.2726542251326</v>
      </c>
      <c r="AQ124" s="130">
        <f t="shared" si="90"/>
        <v>3059.035021718188</v>
      </c>
      <c r="AR124" s="130">
        <f t="shared" si="94"/>
        <v>299.6425299750434</v>
      </c>
      <c r="AS124" s="130">
        <f t="shared" si="95"/>
        <v>144.79311829041808</v>
      </c>
      <c r="AT124" s="130">
        <f t="shared" si="96"/>
        <v>-32.41139771368865</v>
      </c>
      <c r="AU124" s="130">
        <f t="shared" si="97"/>
        <v>34.565393103983844</v>
      </c>
      <c r="AV124" s="130">
        <f t="shared" si="98"/>
        <v>309.58028397584144</v>
      </c>
      <c r="AW124" s="130">
        <f t="shared" si="99"/>
        <v>33.122776410451465</v>
      </c>
      <c r="AX124" s="130">
        <f t="shared" si="100"/>
        <v>1556.236919167257</v>
      </c>
      <c r="AY124" s="130">
        <f t="shared" si="101"/>
        <v>619.6369909314396</v>
      </c>
      <c r="AZ124" s="130">
        <f t="shared" si="102"/>
        <v>2665.524084165703</v>
      </c>
      <c r="BA124" s="130">
        <f t="shared" si="103"/>
        <v>1609.8603270323172</v>
      </c>
      <c r="BB124" s="130">
        <f t="shared" si="104"/>
        <v>40.61958130160724</v>
      </c>
      <c r="BC124" s="130">
        <f t="shared" si="105"/>
        <v>1569.24074573071</v>
      </c>
      <c r="BD124" s="129">
        <f t="shared" si="106"/>
        <v>10401.020577730671</v>
      </c>
      <c r="BE124" s="129">
        <f t="shared" si="57"/>
        <v>55.29144791754205</v>
      </c>
      <c r="BF124" s="130">
        <f t="shared" si="107"/>
        <v>2.0470349819930815</v>
      </c>
      <c r="BG124" s="137">
        <f t="shared" si="108"/>
        <v>0.3582388493827805</v>
      </c>
      <c r="BH124" s="47"/>
      <c r="BI124" s="47"/>
      <c r="BJ124" s="47"/>
    </row>
    <row r="125" spans="1:62" ht="16.5" thickBot="1">
      <c r="A125" s="108">
        <f>IF(Data!A125&gt;0,Data!A125,"")</f>
        <v>105</v>
      </c>
      <c r="B125" s="109">
        <f>IF(A125&gt;0,IF(Data!$F$5="lb",Data!B125/2.204,Data!B125),"")</f>
        <v>45.22926621341878</v>
      </c>
      <c r="C125" s="109">
        <f>IF(A125&gt;0,Data!C125,"")</f>
        <v>0.06283692270517349</v>
      </c>
      <c r="D125" s="110">
        <f>IF(A125&gt;0,Data!D125,"")</f>
        <v>27.441532135009766</v>
      </c>
      <c r="E125" s="143">
        <f t="shared" si="58"/>
        <v>-0.2800313269173371</v>
      </c>
      <c r="F125" s="144">
        <f t="shared" si="59"/>
        <v>19.359770264906377</v>
      </c>
      <c r="G125" s="145">
        <f t="shared" si="60"/>
        <v>-8.113180331455975</v>
      </c>
      <c r="H125" s="111">
        <f>IF(A125&gt;0,IF(Data!$F$4="F",(Data!F125-32)/1.8,Data!F125),"")</f>
        <v>115.18361409505208</v>
      </c>
      <c r="I125" s="123">
        <f>IF(A125&gt;0,IF(Data!$F$4="F",(Data!G125-32)/1.8,Data!G125),"")</f>
        <v>26.626391940646702</v>
      </c>
      <c r="J125" s="136">
        <f t="shared" si="61"/>
        <v>0.9971448648666073</v>
      </c>
      <c r="K125" s="128">
        <f t="shared" si="62"/>
        <v>0.8687119123257019</v>
      </c>
      <c r="L125" s="128">
        <f t="shared" si="63"/>
        <v>0.8662316224240241</v>
      </c>
      <c r="M125" s="155">
        <f t="shared" si="64"/>
        <v>4.474565185940683</v>
      </c>
      <c r="N125" s="130">
        <f t="shared" si="65"/>
        <v>45.22926621341878</v>
      </c>
      <c r="O125" s="130">
        <f t="shared" si="66"/>
        <v>61.368275176571466</v>
      </c>
      <c r="P125" s="130">
        <f t="shared" si="56"/>
        <v>41.300717862842404</v>
      </c>
      <c r="Q125" s="130">
        <f t="shared" si="67"/>
        <v>56.357504227951075</v>
      </c>
      <c r="R125" s="129">
        <f t="shared" si="91"/>
        <v>7429.773243391873</v>
      </c>
      <c r="S125" s="130">
        <f t="shared" si="68"/>
        <v>4.166666666666667</v>
      </c>
      <c r="T125" s="130">
        <f t="shared" si="69"/>
        <v>6.6</v>
      </c>
      <c r="U125" s="134">
        <f t="shared" si="92"/>
        <v>2.68125</v>
      </c>
      <c r="V125" s="130">
        <f t="shared" si="70"/>
        <v>19887</v>
      </c>
      <c r="W125" s="130">
        <f t="shared" si="71"/>
        <v>19.17</v>
      </c>
      <c r="X125" s="130">
        <f t="shared" si="72"/>
        <v>80.60881127374104</v>
      </c>
      <c r="Y125" s="130">
        <f t="shared" si="73"/>
        <v>21.381647552716455</v>
      </c>
      <c r="Z125" s="130">
        <f t="shared" si="74"/>
        <v>6.606317067002069</v>
      </c>
      <c r="AA125" s="130">
        <f t="shared" si="75"/>
        <v>21.756942211519455</v>
      </c>
      <c r="AB125" s="130">
        <f t="shared" si="76"/>
        <v>0.02195205479368667</v>
      </c>
      <c r="AC125" s="130">
        <f t="shared" si="77"/>
        <v>0.6573285481667059</v>
      </c>
      <c r="AD125" s="130">
        <f t="shared" si="78"/>
        <v>41.74705664548481</v>
      </c>
      <c r="AE125" s="130">
        <f t="shared" si="79"/>
        <v>-12.342656277570317</v>
      </c>
      <c r="AF125" s="130">
        <f t="shared" si="80"/>
        <v>0.09559439169411724</v>
      </c>
      <c r="AG125" s="130">
        <f t="shared" si="81"/>
        <v>0.033395863993601234</v>
      </c>
      <c r="AH125" s="130">
        <f t="shared" si="82"/>
        <v>122.63093014681866</v>
      </c>
      <c r="AI125" s="130">
        <f t="shared" si="83"/>
        <v>33.099037417741435</v>
      </c>
      <c r="AJ125" s="130">
        <f t="shared" si="84"/>
        <v>13.175906470369913</v>
      </c>
      <c r="AK125" s="130">
        <f t="shared" si="93"/>
        <v>388.33361409505204</v>
      </c>
      <c r="AL125" s="130">
        <f t="shared" si="85"/>
        <v>3499.568447173136</v>
      </c>
      <c r="AM125" s="130">
        <f t="shared" si="86"/>
        <v>2645.95652175956</v>
      </c>
      <c r="AN125" s="130">
        <f t="shared" si="87"/>
        <v>2576.0151780372407</v>
      </c>
      <c r="AO125" s="130">
        <f t="shared" si="88"/>
        <v>2546.8296401638318</v>
      </c>
      <c r="AP125" s="130">
        <f t="shared" si="89"/>
        <v>3341.9795492068524</v>
      </c>
      <c r="AQ125" s="130">
        <f t="shared" si="90"/>
        <v>3083.5725281844466</v>
      </c>
      <c r="AR125" s="130">
        <f t="shared" si="94"/>
        <v>299.7763919406467</v>
      </c>
      <c r="AS125" s="130">
        <f t="shared" si="95"/>
        <v>146.09668219888823</v>
      </c>
      <c r="AT125" s="130">
        <f t="shared" si="96"/>
        <v>-32.65813187347376</v>
      </c>
      <c r="AU125" s="130">
        <f t="shared" si="97"/>
        <v>27.298796292632602</v>
      </c>
      <c r="AV125" s="130">
        <f t="shared" si="98"/>
        <v>312.32008769877814</v>
      </c>
      <c r="AW125" s="130">
        <f t="shared" si="99"/>
        <v>29.83913700358281</v>
      </c>
      <c r="AX125" s="130">
        <f t="shared" si="100"/>
        <v>1557.3948587113698</v>
      </c>
      <c r="AY125" s="130">
        <f t="shared" si="101"/>
        <v>619.9602948216551</v>
      </c>
      <c r="AZ125" s="130">
        <f t="shared" si="102"/>
        <v>2660.251724853433</v>
      </c>
      <c r="BA125" s="130">
        <f t="shared" si="103"/>
        <v>993.8687125259273</v>
      </c>
      <c r="BB125" s="130">
        <f t="shared" si="104"/>
        <v>21.212943893755657</v>
      </c>
      <c r="BC125" s="130">
        <f t="shared" si="105"/>
        <v>972.6557686321717</v>
      </c>
      <c r="BD125" s="129">
        <f t="shared" si="106"/>
        <v>6435.904530865945</v>
      </c>
      <c r="BE125" s="129">
        <f t="shared" si="57"/>
        <v>21.90623406723555</v>
      </c>
      <c r="BF125" s="130">
        <f t="shared" si="107"/>
        <v>0.999992472548081</v>
      </c>
      <c r="BG125" s="137">
        <f t="shared" si="108"/>
        <v>0.1996268490890431</v>
      </c>
      <c r="BH125" s="47"/>
      <c r="BI125" s="47"/>
      <c r="BJ125" s="47"/>
    </row>
    <row r="126" spans="1:62" ht="16.5" thickBot="1">
      <c r="A126" s="108">
        <f>IF(Data!A126&gt;0,Data!A126,"")</f>
        <v>106</v>
      </c>
      <c r="B126" s="109">
        <f>IF(A126&gt;0,IF(Data!$F$5="lb",Data!B126/2.204,Data!B126),"")</f>
        <v>44.8140423007972</v>
      </c>
      <c r="C126" s="109">
        <f>IF(A126&gt;0,Data!C126,"")</f>
        <v>0.060191284865140915</v>
      </c>
      <c r="D126" s="110">
        <f>IF(A126&gt;0,Data!D126,"")</f>
        <v>27.44162368774414</v>
      </c>
      <c r="E126" s="143">
        <f t="shared" si="58"/>
        <v>-0.2799644636479023</v>
      </c>
      <c r="F126" s="144">
        <f t="shared" si="59"/>
        <v>19.35991700672843</v>
      </c>
      <c r="G126" s="145">
        <f t="shared" si="60"/>
        <v>-8.11180232344828</v>
      </c>
      <c r="H126" s="111">
        <f>IF(A126&gt;0,IF(Data!$F$4="F",(Data!F126-32)/1.8,Data!F126),"")</f>
        <v>116.18582831488715</v>
      </c>
      <c r="I126" s="123">
        <f>IF(A126&gt;0,IF(Data!$F$4="F",(Data!G126-32)/1.8,Data!G126),"")</f>
        <v>26.578339470757378</v>
      </c>
      <c r="J126" s="136">
        <f t="shared" si="61"/>
        <v>0.9972279445564763</v>
      </c>
      <c r="K126" s="128">
        <f t="shared" si="62"/>
        <v>0.8683731257997549</v>
      </c>
      <c r="L126" s="128">
        <f t="shared" si="63"/>
        <v>0.865965947349372</v>
      </c>
      <c r="M126" s="155">
        <f t="shared" si="64"/>
        <v>4.475108019450407</v>
      </c>
      <c r="N126" s="130">
        <f t="shared" si="65"/>
        <v>44.8140423007972</v>
      </c>
      <c r="O126" s="130">
        <f t="shared" si="66"/>
        <v>61.72293085143504</v>
      </c>
      <c r="P126" s="130">
        <f t="shared" si="56"/>
        <v>40.93932735545261</v>
      </c>
      <c r="Q126" s="130">
        <f t="shared" si="67"/>
        <v>56.7393858151718</v>
      </c>
      <c r="R126" s="129">
        <f t="shared" si="91"/>
        <v>7626.863542613615</v>
      </c>
      <c r="S126" s="130">
        <f t="shared" si="68"/>
        <v>4.166666666666667</v>
      </c>
      <c r="T126" s="130">
        <f t="shared" si="69"/>
        <v>6.6</v>
      </c>
      <c r="U126" s="134">
        <f t="shared" si="92"/>
        <v>2.68125</v>
      </c>
      <c r="V126" s="130">
        <f t="shared" si="70"/>
        <v>19887</v>
      </c>
      <c r="W126" s="130">
        <f t="shared" si="71"/>
        <v>19.17</v>
      </c>
      <c r="X126" s="130">
        <f t="shared" si="72"/>
        <v>80.60998735083899</v>
      </c>
      <c r="Y126" s="130">
        <f t="shared" si="73"/>
        <v>21.381959509506363</v>
      </c>
      <c r="Z126" s="130">
        <f t="shared" si="74"/>
        <v>6.605612090477476</v>
      </c>
      <c r="AA126" s="130">
        <f t="shared" si="75"/>
        <v>21.755382423148596</v>
      </c>
      <c r="AB126" s="130">
        <f t="shared" si="76"/>
        <v>0.021568737713536734</v>
      </c>
      <c r="AC126" s="130">
        <f t="shared" si="77"/>
        <v>0.6572584030025089</v>
      </c>
      <c r="AD126" s="130">
        <f t="shared" si="78"/>
        <v>41.75165134806103</v>
      </c>
      <c r="AE126" s="130">
        <f t="shared" si="79"/>
        <v>-12.341876933625626</v>
      </c>
      <c r="AF126" s="130">
        <f t="shared" si="80"/>
        <v>0.09157933103658036</v>
      </c>
      <c r="AG126" s="130">
        <f t="shared" si="81"/>
        <v>0.03281622207491868</v>
      </c>
      <c r="AH126" s="130">
        <f t="shared" si="82"/>
        <v>122.64580716289645</v>
      </c>
      <c r="AI126" s="130">
        <f t="shared" si="83"/>
        <v>33.1001967015788</v>
      </c>
      <c r="AJ126" s="130">
        <f t="shared" si="84"/>
        <v>13.175906470369913</v>
      </c>
      <c r="AK126" s="130">
        <f t="shared" si="93"/>
        <v>389.3358283148871</v>
      </c>
      <c r="AL126" s="130">
        <f t="shared" si="85"/>
        <v>3542.3122115078477</v>
      </c>
      <c r="AM126" s="130">
        <f t="shared" si="86"/>
        <v>2677.721659998321</v>
      </c>
      <c r="AN126" s="130">
        <f t="shared" si="87"/>
        <v>2606.805479221929</v>
      </c>
      <c r="AO126" s="130">
        <f t="shared" si="88"/>
        <v>2577.2994581197986</v>
      </c>
      <c r="AP126" s="130">
        <f t="shared" si="89"/>
        <v>3384.008598816689</v>
      </c>
      <c r="AQ126" s="130">
        <f t="shared" si="90"/>
        <v>3120.386608653324</v>
      </c>
      <c r="AR126" s="130">
        <f t="shared" si="94"/>
        <v>299.72833947075736</v>
      </c>
      <c r="AS126" s="130">
        <f t="shared" si="95"/>
        <v>147.89738442085468</v>
      </c>
      <c r="AT126" s="130">
        <f t="shared" si="96"/>
        <v>-33.048111190202995</v>
      </c>
      <c r="AU126" s="130">
        <f t="shared" si="97"/>
        <v>26.15503912996462</v>
      </c>
      <c r="AV126" s="130">
        <f t="shared" si="98"/>
        <v>316.0949723415983</v>
      </c>
      <c r="AW126" s="130">
        <f t="shared" si="99"/>
        <v>29.322607355003516</v>
      </c>
      <c r="AX126" s="130">
        <f t="shared" si="100"/>
        <v>1558.6679593031156</v>
      </c>
      <c r="AY126" s="130">
        <f t="shared" si="101"/>
        <v>620.4453537027057</v>
      </c>
      <c r="AZ126" s="130">
        <f t="shared" si="102"/>
        <v>2665.5352050630395</v>
      </c>
      <c r="BA126" s="130">
        <f t="shared" si="103"/>
        <v>1022.2594296298287</v>
      </c>
      <c r="BB126" s="130">
        <f t="shared" si="104"/>
        <v>21.142025146674882</v>
      </c>
      <c r="BC126" s="130">
        <f t="shared" si="105"/>
        <v>1001.1174044831538</v>
      </c>
      <c r="BD126" s="129">
        <f t="shared" si="106"/>
        <v>6604.604112983787</v>
      </c>
      <c r="BE126" s="129">
        <f t="shared" si="57"/>
        <v>19.922687683826513</v>
      </c>
      <c r="BF126" s="130">
        <f t="shared" si="107"/>
        <v>0.9834045211402158</v>
      </c>
      <c r="BG126" s="137">
        <f t="shared" si="108"/>
        <v>0.20136559380460353</v>
      </c>
      <c r="BH126" s="47"/>
      <c r="BI126" s="47"/>
      <c r="BJ126" s="47"/>
    </row>
    <row r="127" spans="1:62" ht="16.5" thickBot="1">
      <c r="A127" s="108">
        <f>IF(Data!A127&gt;0,Data!A127,"")</f>
        <v>107</v>
      </c>
      <c r="B127" s="109">
        <f>IF(A127&gt;0,IF(Data!$F$5="lb",Data!B127/2.204,Data!B127),"")</f>
        <v>44.3485488476208</v>
      </c>
      <c r="C127" s="109">
        <f>IF(A127&gt;0,Data!C127,"")</f>
        <v>0.06283692270517349</v>
      </c>
      <c r="D127" s="110">
        <f>IF(A127&gt;0,Data!D127,"")</f>
        <v>27.441471099853516</v>
      </c>
      <c r="E127" s="143">
        <f t="shared" si="58"/>
        <v>-0.2800297292257893</v>
      </c>
      <c r="F127" s="144">
        <f t="shared" si="59"/>
        <v>19.3597737716063</v>
      </c>
      <c r="G127" s="145">
        <f t="shared" si="60"/>
        <v>-8.113115789599803</v>
      </c>
      <c r="H127" s="111">
        <f>IF(A127&gt;0,IF(Data!$F$4="F",(Data!F127-32)/1.8,Data!F127),"")</f>
        <v>116.82796054416232</v>
      </c>
      <c r="I127" s="123">
        <f>IF(A127&gt;0,IF(Data!$F$4="F",(Data!G127-32)/1.8,Data!G127),"")</f>
        <v>26.640514797634548</v>
      </c>
      <c r="J127" s="136">
        <f t="shared" si="61"/>
        <v>0.9971448655131209</v>
      </c>
      <c r="K127" s="128">
        <f t="shared" si="62"/>
        <v>0.8681758154081398</v>
      </c>
      <c r="L127" s="128">
        <f t="shared" si="63"/>
        <v>0.8656970566968937</v>
      </c>
      <c r="M127" s="155">
        <f t="shared" si="64"/>
        <v>4.474574929611511</v>
      </c>
      <c r="N127" s="130">
        <f t="shared" si="65"/>
        <v>44.3485488476208</v>
      </c>
      <c r="O127" s="130">
        <f t="shared" si="66"/>
        <v>62.120523306403555</v>
      </c>
      <c r="P127" s="130">
        <f t="shared" si="56"/>
        <v>40.53369784548297</v>
      </c>
      <c r="Q127" s="130">
        <f t="shared" si="67"/>
        <v>57.1680147855606</v>
      </c>
      <c r="R127" s="129">
        <f t="shared" si="91"/>
        <v>7769.962395093265</v>
      </c>
      <c r="S127" s="130">
        <f t="shared" si="68"/>
        <v>4.166666666666667</v>
      </c>
      <c r="T127" s="130">
        <f t="shared" si="69"/>
        <v>6.6</v>
      </c>
      <c r="U127" s="134">
        <f t="shared" si="92"/>
        <v>2.68125</v>
      </c>
      <c r="V127" s="130">
        <f t="shared" si="70"/>
        <v>19887</v>
      </c>
      <c r="W127" s="130">
        <f t="shared" si="71"/>
        <v>19.17</v>
      </c>
      <c r="X127" s="130">
        <f t="shared" si="72"/>
        <v>80.60880776704111</v>
      </c>
      <c r="Y127" s="130">
        <f t="shared" si="73"/>
        <v>21.381646622557323</v>
      </c>
      <c r="Z127" s="130">
        <f t="shared" si="74"/>
        <v>6.606302393935555</v>
      </c>
      <c r="AA127" s="130">
        <f t="shared" si="75"/>
        <v>21.756893995641747</v>
      </c>
      <c r="AB127" s="130">
        <f t="shared" si="76"/>
        <v>0.021951952172791778</v>
      </c>
      <c r="AC127" s="130">
        <f t="shared" si="77"/>
        <v>0.6573270881965877</v>
      </c>
      <c r="AD127" s="130">
        <f t="shared" si="78"/>
        <v>41.74705651510676</v>
      </c>
      <c r="AE127" s="130">
        <f t="shared" si="79"/>
        <v>-12.342585503145129</v>
      </c>
      <c r="AF127" s="130">
        <f t="shared" si="80"/>
        <v>0.09559460401604622</v>
      </c>
      <c r="AG127" s="130">
        <f t="shared" si="81"/>
        <v>0.03339578204972222</v>
      </c>
      <c r="AH127" s="130">
        <f t="shared" si="82"/>
        <v>122.63119718403166</v>
      </c>
      <c r="AI127" s="130">
        <f t="shared" si="83"/>
        <v>33.0990375816292</v>
      </c>
      <c r="AJ127" s="130">
        <f t="shared" si="84"/>
        <v>13.175906470369913</v>
      </c>
      <c r="AK127" s="130">
        <f t="shared" si="93"/>
        <v>389.97796054416233</v>
      </c>
      <c r="AL127" s="130">
        <f t="shared" si="85"/>
        <v>3566.159773091958</v>
      </c>
      <c r="AM127" s="130">
        <f t="shared" si="86"/>
        <v>2695.338228247499</v>
      </c>
      <c r="AN127" s="130">
        <f t="shared" si="87"/>
        <v>2623.855080820339</v>
      </c>
      <c r="AO127" s="130">
        <f t="shared" si="88"/>
        <v>2594.177146984466</v>
      </c>
      <c r="AP127" s="130">
        <f t="shared" si="89"/>
        <v>3407.6891049156143</v>
      </c>
      <c r="AQ127" s="130">
        <f t="shared" si="90"/>
        <v>3140.7633820856854</v>
      </c>
      <c r="AR127" s="130">
        <f t="shared" si="94"/>
        <v>299.7905147976345</v>
      </c>
      <c r="AS127" s="130">
        <f t="shared" si="95"/>
        <v>148.87667358917028</v>
      </c>
      <c r="AT127" s="130">
        <f t="shared" si="96"/>
        <v>-33.26744254204046</v>
      </c>
      <c r="AU127" s="130">
        <f t="shared" si="97"/>
        <v>27.30343016175948</v>
      </c>
      <c r="AV127" s="130">
        <f t="shared" si="98"/>
        <v>318.12704924216075</v>
      </c>
      <c r="AW127" s="130">
        <f t="shared" si="99"/>
        <v>29.841258208893503</v>
      </c>
      <c r="AX127" s="130">
        <f t="shared" si="100"/>
        <v>1559.2878286453133</v>
      </c>
      <c r="AY127" s="130">
        <f t="shared" si="101"/>
        <v>620.7138361636185</v>
      </c>
      <c r="AZ127" s="130">
        <f t="shared" si="102"/>
        <v>2670.882633468875</v>
      </c>
      <c r="BA127" s="130">
        <f t="shared" si="103"/>
        <v>1043.5288190154788</v>
      </c>
      <c r="BB127" s="130">
        <f t="shared" si="104"/>
        <v>22.184221997506427</v>
      </c>
      <c r="BC127" s="130">
        <f t="shared" si="105"/>
        <v>1021.3445970179723</v>
      </c>
      <c r="BD127" s="129">
        <f t="shared" si="106"/>
        <v>6726.433576077786</v>
      </c>
      <c r="BE127" s="129">
        <f t="shared" si="57"/>
        <v>23.031667727486724</v>
      </c>
      <c r="BF127" s="130">
        <f t="shared" si="107"/>
        <v>1.0457817365413737</v>
      </c>
      <c r="BG127" s="137">
        <f t="shared" si="108"/>
        <v>0.2087667084475867</v>
      </c>
      <c r="BH127" s="47"/>
      <c r="BI127" s="47"/>
      <c r="BJ127" s="47"/>
    </row>
    <row r="128" spans="1:62" ht="16.5" thickBot="1">
      <c r="A128" s="108">
        <f>IF(Data!A128&gt;0,Data!A128,"")</f>
        <v>108</v>
      </c>
      <c r="B128" s="109">
        <f>IF(A128&gt;0,IF(Data!$F$5="lb",Data!B128/2.204,Data!B128),"")</f>
        <v>43.917830756268785</v>
      </c>
      <c r="C128" s="109">
        <f>IF(A128&gt;0,Data!C128,"")</f>
        <v>0.07373645901679993</v>
      </c>
      <c r="D128" s="110">
        <f>IF(A128&gt;0,Data!D128,"")</f>
        <v>27.441532135009766</v>
      </c>
      <c r="E128" s="143">
        <f t="shared" si="58"/>
        <v>-0.28031652583039446</v>
      </c>
      <c r="F128" s="144">
        <f t="shared" si="59"/>
        <v>19.35914404543767</v>
      </c>
      <c r="G128" s="145">
        <f t="shared" si="60"/>
        <v>-8.119256319080495</v>
      </c>
      <c r="H128" s="111">
        <f>IF(A128&gt;0,IF(Data!$F$4="F",(Data!F128-32)/1.8,Data!F128),"")</f>
        <v>117.37680223253038</v>
      </c>
      <c r="I128" s="123">
        <f>IF(A128&gt;0,IF(Data!$F$4="F",(Data!G128-32)/1.8,Data!G128),"")</f>
        <v>26.437818739149304</v>
      </c>
      <c r="J128" s="136">
        <f t="shared" si="61"/>
        <v>0.996802779599193</v>
      </c>
      <c r="K128" s="128">
        <f t="shared" si="62"/>
        <v>0.8679063222007026</v>
      </c>
      <c r="L128" s="128">
        <f t="shared" si="63"/>
        <v>0.8651314344013731</v>
      </c>
      <c r="M128" s="155">
        <f t="shared" si="64"/>
        <v>4.472269878960971</v>
      </c>
      <c r="N128" s="130">
        <f t="shared" si="65"/>
        <v>43.917830756268785</v>
      </c>
      <c r="O128" s="130">
        <f t="shared" si="66"/>
        <v>62.488413041847615</v>
      </c>
      <c r="P128" s="130">
        <f aca="true" t="shared" si="109" ref="P128:P191">IF(A128&gt;0,($B128)*(1-0.01*$AI$2*EXP(-0.0129*$O128)),"")</f>
        <v>40.15791614259062</v>
      </c>
      <c r="Q128" s="130">
        <f t="shared" si="67"/>
        <v>57.56510355854891</v>
      </c>
      <c r="R128" s="129">
        <f t="shared" si="91"/>
        <v>7486.487641461613</v>
      </c>
      <c r="S128" s="130">
        <f t="shared" si="68"/>
        <v>4.166666666666667</v>
      </c>
      <c r="T128" s="130">
        <f t="shared" si="69"/>
        <v>6.6</v>
      </c>
      <c r="U128" s="134">
        <f t="shared" si="92"/>
        <v>2.68125</v>
      </c>
      <c r="V128" s="130">
        <f t="shared" si="70"/>
        <v>19887</v>
      </c>
      <c r="W128" s="130">
        <f t="shared" si="71"/>
        <v>19.17</v>
      </c>
      <c r="X128" s="130">
        <f t="shared" si="72"/>
        <v>80.60398772505393</v>
      </c>
      <c r="Y128" s="130">
        <f t="shared" si="73"/>
        <v>21.38036809683128</v>
      </c>
      <c r="Z128" s="130">
        <f t="shared" si="74"/>
        <v>6.6093121147522655</v>
      </c>
      <c r="AA128" s="130">
        <f t="shared" si="75"/>
        <v>21.763666210466724</v>
      </c>
      <c r="AB128" s="130">
        <f t="shared" si="76"/>
        <v>0.0235318841078751</v>
      </c>
      <c r="AC128" s="130">
        <f t="shared" si="77"/>
        <v>0.6576265554178504</v>
      </c>
      <c r="AD128" s="130">
        <f t="shared" si="78"/>
        <v>41.7281387269613</v>
      </c>
      <c r="AE128" s="130">
        <f t="shared" si="79"/>
        <v>-12.346302399424227</v>
      </c>
      <c r="AF128" s="130">
        <f t="shared" si="80"/>
        <v>0.11212512391618432</v>
      </c>
      <c r="AG128" s="130">
        <f t="shared" si="81"/>
        <v>0.03578305029504646</v>
      </c>
      <c r="AH128" s="130">
        <f t="shared" si="82"/>
        <v>122.56802445247793</v>
      </c>
      <c r="AI128" s="130">
        <f t="shared" si="83"/>
        <v>33.09426304513855</v>
      </c>
      <c r="AJ128" s="130">
        <f t="shared" si="84"/>
        <v>13.175906470369913</v>
      </c>
      <c r="AK128" s="130">
        <f t="shared" si="93"/>
        <v>390.5268022325304</v>
      </c>
      <c r="AL128" s="130">
        <f t="shared" si="85"/>
        <v>3596.3332432082034</v>
      </c>
      <c r="AM128" s="130">
        <f t="shared" si="86"/>
        <v>2717.940305482613</v>
      </c>
      <c r="AN128" s="130">
        <f t="shared" si="87"/>
        <v>2645.807971597454</v>
      </c>
      <c r="AO128" s="130">
        <f t="shared" si="88"/>
        <v>2615.8921730825273</v>
      </c>
      <c r="AP128" s="130">
        <f t="shared" si="89"/>
        <v>3436.9669836086096</v>
      </c>
      <c r="AQ128" s="130">
        <f t="shared" si="90"/>
        <v>3167.0252766655008</v>
      </c>
      <c r="AR128" s="130">
        <f t="shared" si="94"/>
        <v>299.58781873914927</v>
      </c>
      <c r="AS128" s="130">
        <f t="shared" si="95"/>
        <v>150.06829248097458</v>
      </c>
      <c r="AT128" s="130">
        <f t="shared" si="96"/>
        <v>-33.5565129150718</v>
      </c>
      <c r="AU128" s="130">
        <f t="shared" si="97"/>
        <v>32.02728673908654</v>
      </c>
      <c r="AV128" s="130">
        <f t="shared" si="98"/>
        <v>320.6247358354248</v>
      </c>
      <c r="AW128" s="130">
        <f t="shared" si="99"/>
        <v>31.975482080874258</v>
      </c>
      <c r="AX128" s="130">
        <f t="shared" si="100"/>
        <v>1559.9320194082675</v>
      </c>
      <c r="AY128" s="130">
        <f t="shared" si="101"/>
        <v>621.0598604303368</v>
      </c>
      <c r="AZ128" s="130">
        <f t="shared" si="102"/>
        <v>2682.131164059893</v>
      </c>
      <c r="BA128" s="130">
        <f t="shared" si="103"/>
        <v>1009.691849575775</v>
      </c>
      <c r="BB128" s="130">
        <f t="shared" si="104"/>
        <v>23.935884024370576</v>
      </c>
      <c r="BC128" s="130">
        <f t="shared" si="105"/>
        <v>985.7559655514044</v>
      </c>
      <c r="BD128" s="129">
        <f t="shared" si="106"/>
        <v>6476.795791885837</v>
      </c>
      <c r="BE128" s="129">
        <f t="shared" si="57"/>
        <v>23.893373902027296</v>
      </c>
      <c r="BF128" s="130">
        <f t="shared" si="107"/>
        <v>1.181870263281754</v>
      </c>
      <c r="BG128" s="137">
        <f t="shared" si="108"/>
        <v>0.21552923120242543</v>
      </c>
      <c r="BH128" s="47"/>
      <c r="BI128" s="47"/>
      <c r="BJ128" s="47"/>
    </row>
    <row r="129" spans="1:62" ht="16.5" thickBot="1">
      <c r="A129" s="108">
        <f>IF(Data!A129&gt;0,Data!A129,"")</f>
        <v>109</v>
      </c>
      <c r="B129" s="109">
        <f>IF(A129&gt;0,IF(Data!$F$5="lb",Data!B129/2.204,Data!B129),"")</f>
        <v>43.486077642700415</v>
      </c>
      <c r="C129" s="109">
        <f>IF(A129&gt;0,Data!C129,"")</f>
        <v>0.09202426671981812</v>
      </c>
      <c r="D129" s="110">
        <f>IF(A129&gt;0,Data!D129,"")</f>
        <v>27.44159507751465</v>
      </c>
      <c r="E129" s="143">
        <f t="shared" si="58"/>
        <v>-0.2807961842253961</v>
      </c>
      <c r="F129" s="144">
        <f t="shared" si="59"/>
        <v>19.358089725628375</v>
      </c>
      <c r="G129" s="145">
        <f t="shared" si="60"/>
        <v>-8.129517485246183</v>
      </c>
      <c r="H129" s="111">
        <f>IF(A129&gt;0,IF(Data!$F$4="F",(Data!F129-32)/1.8,Data!F129),"")</f>
        <v>117.8336164686415</v>
      </c>
      <c r="I129" s="123">
        <f>IF(A129&gt;0,IF(Data!$F$4="F",(Data!G129-32)/1.8,Data!G129),"")</f>
        <v>26.80220286051432</v>
      </c>
      <c r="J129" s="136">
        <f t="shared" si="61"/>
        <v>0.9962295085839604</v>
      </c>
      <c r="K129" s="128">
        <f t="shared" si="62"/>
        <v>0.8678315561567121</v>
      </c>
      <c r="L129" s="128">
        <f t="shared" si="63"/>
        <v>0.864559404723655</v>
      </c>
      <c r="M129" s="155">
        <f t="shared" si="64"/>
        <v>4.468413341705582</v>
      </c>
      <c r="N129" s="130">
        <f t="shared" si="65"/>
        <v>43.486077642700415</v>
      </c>
      <c r="O129" s="130">
        <f t="shared" si="66"/>
        <v>62.8571868219998</v>
      </c>
      <c r="P129" s="130">
        <f t="shared" si="109"/>
        <v>39.78079518128408</v>
      </c>
      <c r="Q129" s="130">
        <f t="shared" si="67"/>
        <v>57.96360752678574</v>
      </c>
      <c r="R129" s="129">
        <f t="shared" si="91"/>
        <v>11802.43079416712</v>
      </c>
      <c r="S129" s="130">
        <f t="shared" si="68"/>
        <v>4.166666666666667</v>
      </c>
      <c r="T129" s="130">
        <f t="shared" si="69"/>
        <v>6.6</v>
      </c>
      <c r="U129" s="134">
        <f t="shared" si="92"/>
        <v>2.68125</v>
      </c>
      <c r="V129" s="130">
        <f t="shared" si="70"/>
        <v>19887</v>
      </c>
      <c r="W129" s="130">
        <f t="shared" si="71"/>
        <v>19.17</v>
      </c>
      <c r="X129" s="130">
        <f t="shared" si="72"/>
        <v>80.59589814101172</v>
      </c>
      <c r="Y129" s="130">
        <f t="shared" si="73"/>
        <v>21.378222318570746</v>
      </c>
      <c r="Z129" s="130">
        <f t="shared" si="74"/>
        <v>6.614352492908564</v>
      </c>
      <c r="AA129" s="130">
        <f t="shared" si="75"/>
        <v>21.774997807495822</v>
      </c>
      <c r="AB129" s="130">
        <f t="shared" si="76"/>
        <v>0.026182709551218153</v>
      </c>
      <c r="AC129" s="130">
        <f t="shared" si="77"/>
        <v>0.6581280730444021</v>
      </c>
      <c r="AD129" s="130">
        <f t="shared" si="78"/>
        <v>41.69643600002342</v>
      </c>
      <c r="AE129" s="130">
        <f t="shared" si="79"/>
        <v>-12.352485508846705</v>
      </c>
      <c r="AF129" s="130">
        <f t="shared" si="80"/>
        <v>0.1398272927245416</v>
      </c>
      <c r="AG129" s="130">
        <f t="shared" si="81"/>
        <v>0.03978360842457434</v>
      </c>
      <c r="AH129" s="130">
        <f t="shared" si="82"/>
        <v>122.4623313334548</v>
      </c>
      <c r="AI129" s="130">
        <f t="shared" si="83"/>
        <v>33.08626192887949</v>
      </c>
      <c r="AJ129" s="130">
        <f t="shared" si="84"/>
        <v>13.175906470369913</v>
      </c>
      <c r="AK129" s="130">
        <f t="shared" si="93"/>
        <v>390.98361646864146</v>
      </c>
      <c r="AL129" s="130">
        <f t="shared" si="85"/>
        <v>3601.0724910014033</v>
      </c>
      <c r="AM129" s="130">
        <f t="shared" si="86"/>
        <v>2721.039208809963</v>
      </c>
      <c r="AN129" s="130">
        <f t="shared" si="87"/>
        <v>2648.7064765928126</v>
      </c>
      <c r="AO129" s="130">
        <f t="shared" si="88"/>
        <v>2618.7826982026636</v>
      </c>
      <c r="AP129" s="130">
        <f t="shared" si="89"/>
        <v>3442.553442444349</v>
      </c>
      <c r="AQ129" s="130">
        <f t="shared" si="90"/>
        <v>3170.4572831356145</v>
      </c>
      <c r="AR129" s="130">
        <f t="shared" si="94"/>
        <v>299.9522028605143</v>
      </c>
      <c r="AS129" s="130">
        <f t="shared" si="95"/>
        <v>150.15188865248493</v>
      </c>
      <c r="AT129" s="130">
        <f t="shared" si="96"/>
        <v>-33.611597395828774</v>
      </c>
      <c r="AU129" s="130">
        <f t="shared" si="97"/>
        <v>39.94050650584014</v>
      </c>
      <c r="AV129" s="130">
        <f t="shared" si="98"/>
        <v>320.70223447761333</v>
      </c>
      <c r="AW129" s="130">
        <f t="shared" si="99"/>
        <v>35.55057493892027</v>
      </c>
      <c r="AX129" s="130">
        <f t="shared" si="100"/>
        <v>1559.6684308550507</v>
      </c>
      <c r="AY129" s="130">
        <f t="shared" si="101"/>
        <v>621.1050802265927</v>
      </c>
      <c r="AZ129" s="130">
        <f t="shared" si="102"/>
        <v>2693.5071182606735</v>
      </c>
      <c r="BA129" s="130">
        <f t="shared" si="103"/>
        <v>1598.5282524698603</v>
      </c>
      <c r="BB129" s="130">
        <f t="shared" si="104"/>
        <v>44.50084837544303</v>
      </c>
      <c r="BC129" s="130">
        <f t="shared" si="105"/>
        <v>1554.0274040944173</v>
      </c>
      <c r="BD129" s="129">
        <f t="shared" si="106"/>
        <v>10203.90254169726</v>
      </c>
      <c r="BE129" s="129">
        <f t="shared" si="57"/>
        <v>28.277948706041514</v>
      </c>
      <c r="BF129" s="130">
        <f t="shared" si="107"/>
        <v>2.323550785663006</v>
      </c>
      <c r="BG129" s="137">
        <f t="shared" si="108"/>
        <v>0.37776902311924987</v>
      </c>
      <c r="BH129" s="47"/>
      <c r="BI129" s="47"/>
      <c r="BJ129" s="47"/>
    </row>
    <row r="130" spans="1:62" ht="16.5" thickBot="1">
      <c r="A130" s="108">
        <f>IF(Data!A130&gt;0,Data!A130,"")</f>
        <v>110</v>
      </c>
      <c r="B130" s="109">
        <f>IF(A130&gt;0,IF(Data!$F$5="lb",Data!B130/2.204,Data!B130),"")</f>
        <v>42.56060162386747</v>
      </c>
      <c r="C130" s="109">
        <f>IF(A130&gt;0,Data!C130,"")</f>
        <v>0.10784932225942612</v>
      </c>
      <c r="D130" s="110">
        <f>IF(A130&gt;0,Data!D130,"")</f>
        <v>27.441471099853516</v>
      </c>
      <c r="E130" s="143">
        <f t="shared" si="58"/>
        <v>-0.2812060772807946</v>
      </c>
      <c r="F130" s="144">
        <f t="shared" si="59"/>
        <v>19.35718763948764</v>
      </c>
      <c r="G130" s="145">
        <f t="shared" si="60"/>
        <v>-8.138208121495587</v>
      </c>
      <c r="H130" s="111">
        <f>IF(A130&gt;0,IF(Data!$F$4="F",(Data!F130-32)/1.8,Data!F130),"")</f>
        <v>118.12426249186197</v>
      </c>
      <c r="I130" s="123">
        <f>IF(A130&gt;0,IF(Data!$F$4="F",(Data!G130-32)/1.8,Data!G130),"")</f>
        <v>26.188969082302517</v>
      </c>
      <c r="J130" s="136">
        <f t="shared" si="61"/>
        <v>0.9957341352985435</v>
      </c>
      <c r="K130" s="128">
        <f t="shared" si="62"/>
        <v>0.8675048145976103</v>
      </c>
      <c r="L130" s="128">
        <f t="shared" si="63"/>
        <v>0.8638041564306748</v>
      </c>
      <c r="M130" s="155">
        <f t="shared" si="64"/>
        <v>4.465109262882718</v>
      </c>
      <c r="N130" s="130">
        <f t="shared" si="65"/>
        <v>42.56060162386747</v>
      </c>
      <c r="O130" s="130">
        <f t="shared" si="66"/>
        <v>63.64766471128356</v>
      </c>
      <c r="P130" s="130">
        <f t="shared" si="109"/>
        <v>38.9709667993848</v>
      </c>
      <c r="Q130" s="130">
        <f t="shared" si="67"/>
        <v>58.81935371140404</v>
      </c>
      <c r="R130" s="129">
        <f t="shared" si="91"/>
        <v>11918.000354750411</v>
      </c>
      <c r="S130" s="130">
        <f t="shared" si="68"/>
        <v>4.166666666666667</v>
      </c>
      <c r="T130" s="130">
        <f t="shared" si="69"/>
        <v>6.6</v>
      </c>
      <c r="U130" s="134">
        <f t="shared" si="92"/>
        <v>2.68125</v>
      </c>
      <c r="V130" s="130">
        <f t="shared" si="70"/>
        <v>19887</v>
      </c>
      <c r="W130" s="130">
        <f t="shared" si="71"/>
        <v>19.17</v>
      </c>
      <c r="X130" s="130">
        <f t="shared" si="72"/>
        <v>80.58888769938264</v>
      </c>
      <c r="Y130" s="130">
        <f t="shared" si="73"/>
        <v>21.37636278498213</v>
      </c>
      <c r="Z130" s="130">
        <f t="shared" si="74"/>
        <v>6.618671203228116</v>
      </c>
      <c r="AA130" s="130">
        <f t="shared" si="75"/>
        <v>21.78466245464436</v>
      </c>
      <c r="AB130" s="130">
        <f t="shared" si="76"/>
        <v>0.028476258004211275</v>
      </c>
      <c r="AC130" s="130">
        <f t="shared" si="77"/>
        <v>0.6585577847211975</v>
      </c>
      <c r="AD130" s="130">
        <f t="shared" si="78"/>
        <v>41.669040646859784</v>
      </c>
      <c r="AE130" s="130">
        <f t="shared" si="79"/>
        <v>-12.357621928257856</v>
      </c>
      <c r="AF130" s="130">
        <f t="shared" si="80"/>
        <v>0.1637659211713433</v>
      </c>
      <c r="AG130" s="130">
        <f t="shared" si="81"/>
        <v>0.043240333141406545</v>
      </c>
      <c r="AH130" s="130">
        <f t="shared" si="82"/>
        <v>122.37177901328764</v>
      </c>
      <c r="AI130" s="130">
        <f t="shared" si="83"/>
        <v>33.07934847944583</v>
      </c>
      <c r="AJ130" s="130">
        <f t="shared" si="84"/>
        <v>13.175906470369913</v>
      </c>
      <c r="AK130" s="130">
        <f t="shared" si="93"/>
        <v>391.2742624918619</v>
      </c>
      <c r="AL130" s="130">
        <f t="shared" si="85"/>
        <v>3636.398653439161</v>
      </c>
      <c r="AM130" s="130">
        <f t="shared" si="86"/>
        <v>2747.9238134426478</v>
      </c>
      <c r="AN130" s="130">
        <f t="shared" si="87"/>
        <v>2674.923283806879</v>
      </c>
      <c r="AO130" s="130">
        <f t="shared" si="88"/>
        <v>2644.693485562544</v>
      </c>
      <c r="AP130" s="130">
        <f t="shared" si="89"/>
        <v>3475.905246732228</v>
      </c>
      <c r="AQ130" s="130">
        <f t="shared" si="90"/>
        <v>3201.853236865005</v>
      </c>
      <c r="AR130" s="130">
        <f t="shared" si="94"/>
        <v>299.33896908230247</v>
      </c>
      <c r="AS130" s="130">
        <f t="shared" si="95"/>
        <v>151.5252432983426</v>
      </c>
      <c r="AT130" s="130">
        <f t="shared" si="96"/>
        <v>-33.957803574180815</v>
      </c>
      <c r="AU130" s="130">
        <f t="shared" si="97"/>
        <v>46.78267060567727</v>
      </c>
      <c r="AV130" s="130">
        <f t="shared" si="98"/>
        <v>323.63584677314105</v>
      </c>
      <c r="AW130" s="130">
        <f t="shared" si="99"/>
        <v>38.640941288658546</v>
      </c>
      <c r="AX130" s="130">
        <f t="shared" si="100"/>
        <v>1560.3810922950527</v>
      </c>
      <c r="AY130" s="130">
        <f t="shared" si="101"/>
        <v>621.5187503764793</v>
      </c>
      <c r="AZ130" s="130">
        <f t="shared" si="102"/>
        <v>2708.5267410631704</v>
      </c>
      <c r="BA130" s="130">
        <f t="shared" si="103"/>
        <v>1623.1821119747492</v>
      </c>
      <c r="BB130" s="130">
        <f t="shared" si="104"/>
        <v>50.84045153917588</v>
      </c>
      <c r="BC130" s="130">
        <f t="shared" si="105"/>
        <v>1572.3416604355734</v>
      </c>
      <c r="BD130" s="129">
        <f t="shared" si="106"/>
        <v>10294.818242775662</v>
      </c>
      <c r="BE130" s="129">
        <f t="shared" si="57"/>
        <v>68.70199430276442</v>
      </c>
      <c r="BF130" s="130">
        <f t="shared" si="107"/>
        <v>2.7479933919269235</v>
      </c>
      <c r="BG130" s="137">
        <f t="shared" si="108"/>
        <v>0.41461320920706723</v>
      </c>
      <c r="BH130" s="47"/>
      <c r="BI130" s="47"/>
      <c r="BJ130" s="47"/>
    </row>
    <row r="131" spans="1:62" ht="16.5" thickBot="1">
      <c r="A131" s="108">
        <f>IF(Data!A131&gt;0,Data!A131,"")</f>
        <v>111</v>
      </c>
      <c r="B131" s="109">
        <f>IF(A131&gt;0,IF(Data!$F$5="lb",Data!B131/2.204,Data!B131),"")</f>
        <v>42.11714133593218</v>
      </c>
      <c r="C131" s="109">
        <f>IF(A131&gt;0,Data!C131,"")</f>
        <v>0.09204865247011185</v>
      </c>
      <c r="D131" s="110">
        <f>IF(A131&gt;0,Data!D131,"")</f>
        <v>27.441654205322266</v>
      </c>
      <c r="E131" s="143">
        <f t="shared" si="58"/>
        <v>-0.28079836567079874</v>
      </c>
      <c r="F131" s="144">
        <f t="shared" si="59"/>
        <v>19.3580849274595</v>
      </c>
      <c r="G131" s="145">
        <f t="shared" si="60"/>
        <v>-8.12959360409782</v>
      </c>
      <c r="H131" s="111">
        <f>IF(A131&gt;0,IF(Data!$F$4="F",(Data!F131-32)/1.8,Data!F131),"")</f>
        <v>118.24850294325087</v>
      </c>
      <c r="I131" s="123">
        <f>IF(A131&gt;0,IF(Data!$F$4="F",(Data!G131-32)/1.8,Data!G131),"")</f>
        <v>26.640523274739582</v>
      </c>
      <c r="J131" s="136">
        <f t="shared" si="61"/>
        <v>0.9962287460843213</v>
      </c>
      <c r="K131" s="128">
        <f t="shared" si="62"/>
        <v>0.86764346865135</v>
      </c>
      <c r="L131" s="128">
        <f t="shared" si="63"/>
        <v>0.8643713648227854</v>
      </c>
      <c r="M131" s="155">
        <f t="shared" si="64"/>
        <v>4.4683988020886085</v>
      </c>
      <c r="N131" s="130">
        <f t="shared" si="65"/>
        <v>42.11714133593218</v>
      </c>
      <c r="O131" s="130">
        <f t="shared" si="66"/>
        <v>64.0264379536527</v>
      </c>
      <c r="P131" s="130">
        <f t="shared" si="109"/>
        <v>38.582223214194975</v>
      </c>
      <c r="Q131" s="130">
        <f t="shared" si="67"/>
        <v>59.23013931395459</v>
      </c>
      <c r="R131" s="129">
        <f t="shared" si="91"/>
        <v>8150.2718032390585</v>
      </c>
      <c r="S131" s="130">
        <f t="shared" si="68"/>
        <v>4.166666666666667</v>
      </c>
      <c r="T131" s="130">
        <f t="shared" si="69"/>
        <v>6.6</v>
      </c>
      <c r="U131" s="134">
        <f t="shared" si="92"/>
        <v>2.68125</v>
      </c>
      <c r="V131" s="130">
        <f t="shared" si="70"/>
        <v>19887</v>
      </c>
      <c r="W131" s="130">
        <f t="shared" si="71"/>
        <v>19.17</v>
      </c>
      <c r="X131" s="130">
        <f t="shared" si="72"/>
        <v>80.59589074630544</v>
      </c>
      <c r="Y131" s="130">
        <f t="shared" si="73"/>
        <v>21.378220357110198</v>
      </c>
      <c r="Z131" s="130">
        <f t="shared" si="74"/>
        <v>6.614373408321905</v>
      </c>
      <c r="AA131" s="130">
        <f t="shared" si="75"/>
        <v>21.775059560364497</v>
      </c>
      <c r="AB131" s="130">
        <f t="shared" si="76"/>
        <v>0.026186343548893376</v>
      </c>
      <c r="AC131" s="130">
        <f t="shared" si="77"/>
        <v>0.6581301541280296</v>
      </c>
      <c r="AD131" s="130">
        <f t="shared" si="78"/>
        <v>41.69639399319165</v>
      </c>
      <c r="AE131" s="130">
        <f t="shared" si="79"/>
        <v>-12.352562108127213</v>
      </c>
      <c r="AF131" s="130">
        <f t="shared" si="80"/>
        <v>0.13986390365606183</v>
      </c>
      <c r="AG131" s="130">
        <f t="shared" si="81"/>
        <v>0.039789004324818106</v>
      </c>
      <c r="AH131" s="130">
        <f t="shared" si="82"/>
        <v>122.4619328574735</v>
      </c>
      <c r="AI131" s="130">
        <f t="shared" si="83"/>
        <v>33.086251137079</v>
      </c>
      <c r="AJ131" s="130">
        <f t="shared" si="84"/>
        <v>13.175906470369913</v>
      </c>
      <c r="AK131" s="130">
        <f t="shared" si="93"/>
        <v>391.39850294325083</v>
      </c>
      <c r="AL131" s="130">
        <f t="shared" si="85"/>
        <v>3624.216958190522</v>
      </c>
      <c r="AM131" s="130">
        <f t="shared" si="86"/>
        <v>2738.3778476560105</v>
      </c>
      <c r="AN131" s="130">
        <f t="shared" si="87"/>
        <v>2665.547548486556</v>
      </c>
      <c r="AO131" s="130">
        <f t="shared" si="88"/>
        <v>2635.441200462497</v>
      </c>
      <c r="AP131" s="130">
        <f t="shared" si="89"/>
        <v>3465.0070397615946</v>
      </c>
      <c r="AQ131" s="130">
        <f t="shared" si="90"/>
        <v>3190.6041301711084</v>
      </c>
      <c r="AR131" s="130">
        <f t="shared" si="94"/>
        <v>299.79052327473954</v>
      </c>
      <c r="AS131" s="130">
        <f t="shared" si="95"/>
        <v>151.11677820551859</v>
      </c>
      <c r="AT131" s="130">
        <f t="shared" si="96"/>
        <v>-33.82598243869059</v>
      </c>
      <c r="AU131" s="130">
        <f t="shared" si="97"/>
        <v>39.95331957285209</v>
      </c>
      <c r="AV131" s="130">
        <f t="shared" si="98"/>
        <v>322.7412233408577</v>
      </c>
      <c r="AW131" s="130">
        <f t="shared" si="99"/>
        <v>35.556290113853386</v>
      </c>
      <c r="AX131" s="130">
        <f t="shared" si="100"/>
        <v>1560.3345057760696</v>
      </c>
      <c r="AY131" s="130">
        <f t="shared" si="101"/>
        <v>621.3705331988052</v>
      </c>
      <c r="AZ131" s="130">
        <f t="shared" si="102"/>
        <v>2697.246667769266</v>
      </c>
      <c r="BA131" s="130">
        <f t="shared" si="103"/>
        <v>1105.4102409966488</v>
      </c>
      <c r="BB131" s="130">
        <f t="shared" si="104"/>
        <v>30.736664598391627</v>
      </c>
      <c r="BC131" s="130">
        <f t="shared" si="105"/>
        <v>1074.6735763982572</v>
      </c>
      <c r="BD131" s="129">
        <f t="shared" si="106"/>
        <v>7044.8615622424095</v>
      </c>
      <c r="BE131" s="129">
        <f t="shared" si="57"/>
        <v>29.155351620075827</v>
      </c>
      <c r="BF131" s="130">
        <f t="shared" si="107"/>
        <v>1.604968434014706</v>
      </c>
      <c r="BG131" s="137">
        <f t="shared" si="108"/>
        <v>0.26090708505256455</v>
      </c>
      <c r="BH131" s="47"/>
      <c r="BI131" s="47"/>
      <c r="BJ131" s="47"/>
    </row>
    <row r="132" spans="1:62" ht="16.5" thickBot="1">
      <c r="A132" s="108">
        <f>IF(Data!A132&gt;0,Data!A132,"")</f>
        <v>112</v>
      </c>
      <c r="B132" s="109">
        <f>IF(A132&gt;0,IF(Data!$F$5="lb",Data!B132/2.204,Data!B132),"")</f>
        <v>41.626170412814766</v>
      </c>
      <c r="C132" s="109">
        <f>IF(A132&gt;0,Data!C132,"")</f>
        <v>0.13732928037643433</v>
      </c>
      <c r="D132" s="110">
        <f>IF(A132&gt;0,Data!D132,"")</f>
        <v>27.441532135009766</v>
      </c>
      <c r="E132" s="143">
        <f t="shared" si="58"/>
        <v>-0.2819760106771044</v>
      </c>
      <c r="F132" s="144">
        <f t="shared" si="59"/>
        <v>19.355490398010236</v>
      </c>
      <c r="G132" s="145">
        <f t="shared" si="60"/>
        <v>-8.154706377187747</v>
      </c>
      <c r="H132" s="111">
        <f>IF(A132&gt;0,IF(Data!$F$4="F",(Data!F132-32)/1.8,Data!F132),"")</f>
        <v>118.41961330837674</v>
      </c>
      <c r="I132" s="123">
        <f>IF(A132&gt;0,IF(Data!$F$4="F",(Data!G132-32)/1.8,Data!G132),"")</f>
        <v>26.322542826334633</v>
      </c>
      <c r="J132" s="136">
        <f t="shared" si="61"/>
        <v>0.9948130646115289</v>
      </c>
      <c r="K132" s="128">
        <f t="shared" si="62"/>
        <v>0.8673845220599973</v>
      </c>
      <c r="L132" s="128">
        <f t="shared" si="63"/>
        <v>0.8628854545871121</v>
      </c>
      <c r="M132" s="155">
        <f t="shared" si="64"/>
        <v>4.458919386747903</v>
      </c>
      <c r="N132" s="130">
        <f t="shared" si="65"/>
        <v>41.626170412814766</v>
      </c>
      <c r="O132" s="130">
        <f t="shared" si="66"/>
        <v>64.44579150912892</v>
      </c>
      <c r="P132" s="130">
        <f t="shared" si="109"/>
        <v>38.1513085499516</v>
      </c>
      <c r="Q132" s="130">
        <f t="shared" si="67"/>
        <v>59.68548712352075</v>
      </c>
      <c r="R132" s="129">
        <f t="shared" si="91"/>
        <v>7951.901459780264</v>
      </c>
      <c r="S132" s="130">
        <f t="shared" si="68"/>
        <v>4.166666666666667</v>
      </c>
      <c r="T132" s="130">
        <f t="shared" si="69"/>
        <v>6.6</v>
      </c>
      <c r="U132" s="134">
        <f t="shared" si="92"/>
        <v>2.68125</v>
      </c>
      <c r="V132" s="130">
        <f t="shared" si="70"/>
        <v>19887</v>
      </c>
      <c r="W132" s="130">
        <f t="shared" si="71"/>
        <v>19.17</v>
      </c>
      <c r="X132" s="130">
        <f t="shared" si="72"/>
        <v>80.57584496180155</v>
      </c>
      <c r="Y132" s="130">
        <f t="shared" si="73"/>
        <v>21.372903172891657</v>
      </c>
      <c r="Z132" s="130">
        <f t="shared" si="74"/>
        <v>6.62678657706848</v>
      </c>
      <c r="AA132" s="130">
        <f t="shared" si="75"/>
        <v>21.80289705952771</v>
      </c>
      <c r="AB132" s="130">
        <f t="shared" si="76"/>
        <v>0.032749322399137526</v>
      </c>
      <c r="AC132" s="130">
        <f t="shared" si="77"/>
        <v>0.6593652644183138</v>
      </c>
      <c r="AD132" s="130">
        <f t="shared" si="78"/>
        <v>41.61810397946644</v>
      </c>
      <c r="AE132" s="130">
        <f t="shared" si="79"/>
        <v>-12.367509811700131</v>
      </c>
      <c r="AF132" s="130">
        <f t="shared" si="80"/>
        <v>0.20827496956119612</v>
      </c>
      <c r="AG132" s="130">
        <f t="shared" si="81"/>
        <v>0.049667952144899066</v>
      </c>
      <c r="AH132" s="130">
        <f t="shared" si="82"/>
        <v>122.20213788920903</v>
      </c>
      <c r="AI132" s="130">
        <f t="shared" si="83"/>
        <v>33.06649324143884</v>
      </c>
      <c r="AJ132" s="130">
        <f t="shared" si="84"/>
        <v>13.175906470369913</v>
      </c>
      <c r="AK132" s="130">
        <f t="shared" si="93"/>
        <v>391.5696133083767</v>
      </c>
      <c r="AL132" s="130">
        <f t="shared" si="85"/>
        <v>3643.3703553537343</v>
      </c>
      <c r="AM132" s="130">
        <f t="shared" si="86"/>
        <v>2752.937053368254</v>
      </c>
      <c r="AN132" s="130">
        <f t="shared" si="87"/>
        <v>2679.7409112801083</v>
      </c>
      <c r="AO132" s="130">
        <f t="shared" si="88"/>
        <v>2649.4697689496143</v>
      </c>
      <c r="AP132" s="130">
        <f t="shared" si="89"/>
        <v>3483.127817342622</v>
      </c>
      <c r="AQ132" s="130">
        <f t="shared" si="90"/>
        <v>3207.6000697242825</v>
      </c>
      <c r="AR132" s="130">
        <f t="shared" si="94"/>
        <v>299.47254282633463</v>
      </c>
      <c r="AS132" s="130">
        <f t="shared" si="95"/>
        <v>151.6301662848173</v>
      </c>
      <c r="AT132" s="130">
        <f t="shared" si="96"/>
        <v>-34.04697601852473</v>
      </c>
      <c r="AU132" s="130">
        <f t="shared" si="97"/>
        <v>59.49848141776033</v>
      </c>
      <c r="AV132" s="130">
        <f t="shared" si="98"/>
        <v>323.77087003847157</v>
      </c>
      <c r="AW132" s="130">
        <f t="shared" si="99"/>
        <v>44.38522543524112</v>
      </c>
      <c r="AX132" s="130">
        <f t="shared" si="100"/>
        <v>1559.9647273596013</v>
      </c>
      <c r="AY132" s="130">
        <f t="shared" si="101"/>
        <v>621.594470108734</v>
      </c>
      <c r="AZ132" s="130">
        <f t="shared" si="102"/>
        <v>2726.796964626101</v>
      </c>
      <c r="BA132" s="130">
        <f t="shared" si="103"/>
        <v>1090.3213538258503</v>
      </c>
      <c r="BB132" s="130">
        <f t="shared" si="104"/>
        <v>41.24590452762253</v>
      </c>
      <c r="BC132" s="130">
        <f t="shared" si="105"/>
        <v>1049.0754492982278</v>
      </c>
      <c r="BD132" s="129">
        <f t="shared" si="106"/>
        <v>6861.580105954414</v>
      </c>
      <c r="BE132" s="129">
        <f t="shared" si="57"/>
        <v>44.44996113058733</v>
      </c>
      <c r="BF132" s="130">
        <f t="shared" si="107"/>
        <v>2.3318296860110745</v>
      </c>
      <c r="BG132" s="137">
        <f t="shared" si="108"/>
        <v>0.31775906766456014</v>
      </c>
      <c r="BH132" s="47"/>
      <c r="BI132" s="47"/>
      <c r="BJ132" s="47"/>
    </row>
    <row r="133" spans="1:62" ht="16.5" thickBot="1">
      <c r="A133" s="108">
        <f>IF(Data!A133&gt;0,Data!A133,"")</f>
        <v>113</v>
      </c>
      <c r="B133" s="109">
        <f>IF(A133&gt;0,IF(Data!$F$5="lb",Data!B133/2.204,Data!B133),"")</f>
        <v>41.20647063488968</v>
      </c>
      <c r="C133" s="109">
        <f>IF(A133&gt;0,Data!C133,"")</f>
        <v>0.1400480717420578</v>
      </c>
      <c r="D133" s="110">
        <f>IF(A133&gt;0,Data!D133,"")</f>
        <v>27.441532135009766</v>
      </c>
      <c r="E133" s="143">
        <f t="shared" si="58"/>
        <v>-0.28204678825430807</v>
      </c>
      <c r="F133" s="144">
        <f t="shared" si="59"/>
        <v>19.35533419319236</v>
      </c>
      <c r="G133" s="145">
        <f t="shared" si="60"/>
        <v>-8.156221977688435</v>
      </c>
      <c r="H133" s="111">
        <f>IF(A133&gt;0,IF(Data!$F$4="F",(Data!F133-32)/1.8,Data!F133),"")</f>
        <v>118.41902838812933</v>
      </c>
      <c r="I133" s="123">
        <f>IF(A133&gt;0,IF(Data!$F$4="F",(Data!G133-32)/1.8,Data!G133),"")</f>
        <v>26.699273851182724</v>
      </c>
      <c r="J133" s="136">
        <f t="shared" si="61"/>
        <v>0.9947282319722454</v>
      </c>
      <c r="K133" s="128">
        <f t="shared" si="62"/>
        <v>0.867498871589247</v>
      </c>
      <c r="L133" s="128">
        <f t="shared" si="63"/>
        <v>0.8629256187738894</v>
      </c>
      <c r="M133" s="155">
        <f t="shared" si="64"/>
        <v>4.45835018085802</v>
      </c>
      <c r="N133" s="130">
        <f t="shared" si="65"/>
        <v>41.20647063488968</v>
      </c>
      <c r="O133" s="130">
        <f t="shared" si="66"/>
        <v>64.80427015993766</v>
      </c>
      <c r="P133" s="130">
        <f t="shared" si="109"/>
        <v>37.78251471519762</v>
      </c>
      <c r="Q133" s="130">
        <f t="shared" si="67"/>
        <v>60.07519181164407</v>
      </c>
      <c r="R133" s="129">
        <f t="shared" si="91"/>
        <v>7763.041245205838</v>
      </c>
      <c r="S133" s="130">
        <f t="shared" si="68"/>
        <v>4.166666666666667</v>
      </c>
      <c r="T133" s="130">
        <f t="shared" si="69"/>
        <v>6.6</v>
      </c>
      <c r="U133" s="134">
        <f t="shared" si="92"/>
        <v>2.68125</v>
      </c>
      <c r="V133" s="130">
        <f t="shared" si="70"/>
        <v>19887</v>
      </c>
      <c r="W133" s="130">
        <f t="shared" si="71"/>
        <v>19.17</v>
      </c>
      <c r="X133" s="130">
        <f t="shared" si="72"/>
        <v>80.57464177093661</v>
      </c>
      <c r="Y133" s="130">
        <f t="shared" si="73"/>
        <v>21.372584024121117</v>
      </c>
      <c r="Z133" s="130">
        <f t="shared" si="74"/>
        <v>6.627533664809653</v>
      </c>
      <c r="AA133" s="130">
        <f t="shared" si="75"/>
        <v>21.804574300628385</v>
      </c>
      <c r="AB133" s="130">
        <f t="shared" si="76"/>
        <v>0.03314339662173538</v>
      </c>
      <c r="AC133" s="130">
        <f t="shared" si="77"/>
        <v>0.6594395996485605</v>
      </c>
      <c r="AD133" s="130">
        <f t="shared" si="78"/>
        <v>41.61341258491962</v>
      </c>
      <c r="AE133" s="130">
        <f t="shared" si="79"/>
        <v>-12.368414001881575</v>
      </c>
      <c r="AF133" s="130">
        <f t="shared" si="80"/>
        <v>0.21237437335685413</v>
      </c>
      <c r="AG133" s="130">
        <f t="shared" si="81"/>
        <v>0.05025994289605706</v>
      </c>
      <c r="AH133" s="130">
        <f t="shared" si="82"/>
        <v>122.18653810580649</v>
      </c>
      <c r="AI133" s="130">
        <f t="shared" si="83"/>
        <v>33.065309259936534</v>
      </c>
      <c r="AJ133" s="130">
        <f t="shared" si="84"/>
        <v>13.175906470369913</v>
      </c>
      <c r="AK133" s="130">
        <f t="shared" si="93"/>
        <v>391.5690283881293</v>
      </c>
      <c r="AL133" s="130">
        <f t="shared" si="85"/>
        <v>3628.9439449956626</v>
      </c>
      <c r="AM133" s="130">
        <f t="shared" si="86"/>
        <v>2741.8136923453426</v>
      </c>
      <c r="AN133" s="130">
        <f t="shared" si="87"/>
        <v>2668.8587802310212</v>
      </c>
      <c r="AO133" s="130">
        <f t="shared" si="88"/>
        <v>2638.7220068883403</v>
      </c>
      <c r="AP133" s="130">
        <f t="shared" si="89"/>
        <v>3469.8236610367176</v>
      </c>
      <c r="AQ133" s="130">
        <f t="shared" si="90"/>
        <v>3194.5570576761934</v>
      </c>
      <c r="AR133" s="130">
        <f t="shared" si="94"/>
        <v>299.8492738511827</v>
      </c>
      <c r="AS133" s="130">
        <f t="shared" si="95"/>
        <v>151.01274163065037</v>
      </c>
      <c r="AT133" s="130">
        <f t="shared" si="96"/>
        <v>-33.91188686295476</v>
      </c>
      <c r="AU133" s="130">
        <f t="shared" si="97"/>
        <v>60.66725825040573</v>
      </c>
      <c r="AV133" s="130">
        <f t="shared" si="98"/>
        <v>322.4163070452924</v>
      </c>
      <c r="AW133" s="130">
        <f t="shared" si="99"/>
        <v>44.91358286764566</v>
      </c>
      <c r="AX133" s="130">
        <f t="shared" si="100"/>
        <v>1559.4775999107258</v>
      </c>
      <c r="AY133" s="130">
        <f t="shared" si="101"/>
        <v>621.4226166018964</v>
      </c>
      <c r="AZ133" s="130">
        <f t="shared" si="102"/>
        <v>2725.9982194436616</v>
      </c>
      <c r="BA133" s="130">
        <f t="shared" si="103"/>
        <v>1064.1140751193655</v>
      </c>
      <c r="BB133" s="130">
        <f t="shared" si="104"/>
        <v>40.92485934664805</v>
      </c>
      <c r="BC133" s="130">
        <f t="shared" si="105"/>
        <v>1023.1892157727174</v>
      </c>
      <c r="BD133" s="129">
        <f t="shared" si="106"/>
        <v>6698.927170086473</v>
      </c>
      <c r="BE133" s="129">
        <f aca="true" t="shared" si="110" ref="BE133:BE196">IF(A133&gt;0,(P132-P133)*(0.001*AF133*(282993)+0.001*AG133*(890156)),"")</f>
        <v>38.664216840983556</v>
      </c>
      <c r="BF133" s="130">
        <f t="shared" si="107"/>
        <v>2.3212545157254523</v>
      </c>
      <c r="BG133" s="137">
        <f t="shared" si="108"/>
        <v>0.31390959696990484</v>
      </c>
      <c r="BH133" s="47"/>
      <c r="BI133" s="47"/>
      <c r="BJ133" s="47"/>
    </row>
    <row r="134" spans="1:62" ht="16.5" thickBot="1">
      <c r="A134" s="108">
        <f>IF(Data!A134&gt;0,Data!A134,"")</f>
        <v>114</v>
      </c>
      <c r="B134" s="109">
        <f>IF(A134&gt;0,IF(Data!$F$5="lb",Data!B134/2.204,Data!B134),"")</f>
        <v>40.73822173795336</v>
      </c>
      <c r="C134" s="109">
        <f>IF(A134&gt;0,Data!C134,"")</f>
        <v>0.13208676874637604</v>
      </c>
      <c r="D134" s="110">
        <f>IF(A134&gt;0,Data!D134,"")</f>
        <v>27.441532135009766</v>
      </c>
      <c r="E134" s="143">
        <f t="shared" si="58"/>
        <v>-0.28183949435228595</v>
      </c>
      <c r="F134" s="144">
        <f t="shared" si="59"/>
        <v>19.355791600075513</v>
      </c>
      <c r="G134" s="145">
        <f t="shared" si="60"/>
        <v>-8.15178391930744</v>
      </c>
      <c r="H134" s="111">
        <f>IF(A134&gt;0,IF(Data!$F$4="F",(Data!F134-32)/1.8,Data!F134),"")</f>
        <v>118.23337131076389</v>
      </c>
      <c r="I134" s="123">
        <f>IF(A134&gt;0,IF(Data!$F$4="F",(Data!G134-32)/1.8,Data!G134),"")</f>
        <v>26.158133612738716</v>
      </c>
      <c r="J134" s="136">
        <f t="shared" si="61"/>
        <v>0.9949766972291649</v>
      </c>
      <c r="K134" s="128">
        <f t="shared" si="62"/>
        <v>0.8674050260954206</v>
      </c>
      <c r="L134" s="128">
        <f t="shared" si="63"/>
        <v>0.8630477880243992</v>
      </c>
      <c r="M134" s="155">
        <f t="shared" si="64"/>
        <v>4.460017320874698</v>
      </c>
      <c r="N134" s="130">
        <f t="shared" si="65"/>
        <v>40.73822173795336</v>
      </c>
      <c r="O134" s="130">
        <f t="shared" si="66"/>
        <v>65.20421612523283</v>
      </c>
      <c r="P134" s="130">
        <f t="shared" si="109"/>
        <v>37.370593384747615</v>
      </c>
      <c r="Q134" s="130">
        <f t="shared" si="67"/>
        <v>60.510469352879134</v>
      </c>
      <c r="R134" s="129">
        <f t="shared" si="91"/>
        <v>8453.163412964235</v>
      </c>
      <c r="S134" s="130">
        <f t="shared" si="68"/>
        <v>4.166666666666667</v>
      </c>
      <c r="T134" s="130">
        <f t="shared" si="69"/>
        <v>6.6</v>
      </c>
      <c r="U134" s="134">
        <f t="shared" si="92"/>
        <v>2.68125</v>
      </c>
      <c r="V134" s="130">
        <f t="shared" si="70"/>
        <v>19887</v>
      </c>
      <c r="W134" s="130">
        <f t="shared" si="71"/>
        <v>19.17</v>
      </c>
      <c r="X134" s="130">
        <f t="shared" si="72"/>
        <v>80.57816501555129</v>
      </c>
      <c r="Y134" s="130">
        <f t="shared" si="73"/>
        <v>21.37351857176427</v>
      </c>
      <c r="Z134" s="130">
        <f t="shared" si="74"/>
        <v>6.6253460045327275</v>
      </c>
      <c r="AA134" s="130">
        <f t="shared" si="75"/>
        <v>21.799662918030883</v>
      </c>
      <c r="AB134" s="130">
        <f t="shared" si="76"/>
        <v>0.031989448463559</v>
      </c>
      <c r="AC134" s="130">
        <f t="shared" si="77"/>
        <v>0.6592219274510064</v>
      </c>
      <c r="AD134" s="130">
        <f t="shared" si="78"/>
        <v>41.627153151772596</v>
      </c>
      <c r="AE134" s="130">
        <f t="shared" si="79"/>
        <v>-12.365765730560115</v>
      </c>
      <c r="AF134" s="130">
        <f t="shared" si="80"/>
        <v>0.2003676808159461</v>
      </c>
      <c r="AG134" s="130">
        <f t="shared" si="81"/>
        <v>0.0485260685839921</v>
      </c>
      <c r="AH134" s="130">
        <f t="shared" si="82"/>
        <v>122.23222811644094</v>
      </c>
      <c r="AI134" s="130">
        <f t="shared" si="83"/>
        <v>33.06877700856066</v>
      </c>
      <c r="AJ134" s="130">
        <f t="shared" si="84"/>
        <v>13.175906470369913</v>
      </c>
      <c r="AK134" s="130">
        <f t="shared" si="93"/>
        <v>391.3833713107639</v>
      </c>
      <c r="AL134" s="130">
        <f t="shared" si="85"/>
        <v>3642.0384967313194</v>
      </c>
      <c r="AM134" s="130">
        <f t="shared" si="86"/>
        <v>2752.1391462417832</v>
      </c>
      <c r="AN134" s="130">
        <f t="shared" si="87"/>
        <v>2679.0152429309073</v>
      </c>
      <c r="AO134" s="130">
        <f t="shared" si="88"/>
        <v>2648.741590872318</v>
      </c>
      <c r="AP134" s="130">
        <f t="shared" si="89"/>
        <v>3481.3980812916952</v>
      </c>
      <c r="AQ134" s="130">
        <f t="shared" si="90"/>
        <v>3206.7476513211495</v>
      </c>
      <c r="AR134" s="130">
        <f t="shared" si="94"/>
        <v>299.3081336127387</v>
      </c>
      <c r="AS134" s="130">
        <f t="shared" si="95"/>
        <v>151.60769428808626</v>
      </c>
      <c r="AT134" s="130">
        <f t="shared" si="96"/>
        <v>-34.032307940329616</v>
      </c>
      <c r="AU134" s="130">
        <f t="shared" si="97"/>
        <v>57.23943916824367</v>
      </c>
      <c r="AV134" s="130">
        <f t="shared" si="98"/>
        <v>323.76158635700983</v>
      </c>
      <c r="AW134" s="130">
        <f t="shared" si="99"/>
        <v>43.364709668513015</v>
      </c>
      <c r="AX134" s="130">
        <f t="shared" si="100"/>
        <v>1560.0442792936685</v>
      </c>
      <c r="AY134" s="130">
        <f t="shared" si="101"/>
        <v>621.5832387235806</v>
      </c>
      <c r="AZ134" s="130">
        <f t="shared" si="102"/>
        <v>2723.5686395587722</v>
      </c>
      <c r="BA134" s="130">
        <f t="shared" si="103"/>
        <v>1157.6794275966708</v>
      </c>
      <c r="BB134" s="130">
        <f t="shared" si="104"/>
        <v>42.46270072003106</v>
      </c>
      <c r="BC134" s="130">
        <f t="shared" si="105"/>
        <v>1115.2167268766398</v>
      </c>
      <c r="BD134" s="129">
        <f t="shared" si="106"/>
        <v>7295.483985367564</v>
      </c>
      <c r="BE134" s="129">
        <f t="shared" si="110"/>
        <v>41.15029098396302</v>
      </c>
      <c r="BF134" s="130">
        <f t="shared" si="107"/>
        <v>2.3847106633070774</v>
      </c>
      <c r="BG134" s="137">
        <f t="shared" si="108"/>
        <v>0.3300236637233934</v>
      </c>
      <c r="BH134" s="47"/>
      <c r="BI134" s="47"/>
      <c r="BJ134" s="47"/>
    </row>
    <row r="135" spans="1:62" ht="16.5" thickBot="1">
      <c r="A135" s="108">
        <f>IF(Data!A135&gt;0,Data!A135,"")</f>
        <v>115</v>
      </c>
      <c r="B135" s="109">
        <f>IF(A135&gt;0,IF(Data!$F$5="lb",Data!B135/2.204,Data!B135),"")</f>
        <v>40.240711828325274</v>
      </c>
      <c r="C135" s="109">
        <f>IF(A135&gt;0,Data!C135,"")</f>
        <v>0.13457390666007996</v>
      </c>
      <c r="D135" s="110">
        <f>IF(A135&gt;0,Data!D135,"")</f>
        <v>27.44150161743164</v>
      </c>
      <c r="E135" s="143">
        <f t="shared" si="58"/>
        <v>-0.28190347182800923</v>
      </c>
      <c r="F135" s="144">
        <f t="shared" si="59"/>
        <v>19.355650457972093</v>
      </c>
      <c r="G135" s="145">
        <f t="shared" si="60"/>
        <v>-8.153138112789588</v>
      </c>
      <c r="H135" s="111">
        <f>IF(A135&gt;0,IF(Data!$F$4="F",(Data!F135-32)/1.8,Data!F135),"")</f>
        <v>118.06763543023003</v>
      </c>
      <c r="I135" s="123">
        <f>IF(A135&gt;0,IF(Data!$F$4="F",(Data!G135-32)/1.8,Data!G135),"")</f>
        <v>26.699244181315102</v>
      </c>
      <c r="J135" s="136">
        <f t="shared" si="61"/>
        <v>0.9948990560589135</v>
      </c>
      <c r="K135" s="128">
        <f t="shared" si="62"/>
        <v>0.8676266484828976</v>
      </c>
      <c r="L135" s="128">
        <f t="shared" si="63"/>
        <v>0.8632009335871937</v>
      </c>
      <c r="M135" s="155">
        <f t="shared" si="64"/>
        <v>4.459501223125474</v>
      </c>
      <c r="N135" s="130">
        <f t="shared" si="65"/>
        <v>40.240711828325274</v>
      </c>
      <c r="O135" s="130">
        <f t="shared" si="66"/>
        <v>65.6291548327279</v>
      </c>
      <c r="P135" s="130">
        <f t="shared" si="109"/>
        <v>36.9323951986326</v>
      </c>
      <c r="Q135" s="130">
        <f t="shared" si="67"/>
        <v>60.973513664805004</v>
      </c>
      <c r="R135" s="129">
        <f t="shared" si="91"/>
        <v>8309.113291094927</v>
      </c>
      <c r="S135" s="130">
        <f t="shared" si="68"/>
        <v>4.166666666666667</v>
      </c>
      <c r="T135" s="130">
        <f t="shared" si="69"/>
        <v>6.6</v>
      </c>
      <c r="U135" s="134">
        <f t="shared" si="92"/>
        <v>2.68125</v>
      </c>
      <c r="V135" s="130">
        <f t="shared" si="70"/>
        <v>19887</v>
      </c>
      <c r="W135" s="130">
        <f t="shared" si="71"/>
        <v>19.17</v>
      </c>
      <c r="X135" s="130">
        <f t="shared" si="72"/>
        <v>80.57706258869787</v>
      </c>
      <c r="Y135" s="130">
        <f t="shared" si="73"/>
        <v>21.373226150848243</v>
      </c>
      <c r="Z135" s="130">
        <f t="shared" si="74"/>
        <v>6.62602210045016</v>
      </c>
      <c r="AA135" s="130">
        <f t="shared" si="75"/>
        <v>21.801173142584297</v>
      </c>
      <c r="AB135" s="130">
        <f t="shared" si="76"/>
        <v>0.03234989445061487</v>
      </c>
      <c r="AC135" s="130">
        <f t="shared" si="77"/>
        <v>0.6592891989947909</v>
      </c>
      <c r="AD135" s="130">
        <f t="shared" si="78"/>
        <v>41.622859375326215</v>
      </c>
      <c r="AE135" s="130">
        <f t="shared" si="79"/>
        <v>-12.366557991880596</v>
      </c>
      <c r="AF135" s="130">
        <f t="shared" si="80"/>
        <v>0.20411968960702365</v>
      </c>
      <c r="AG135" s="130">
        <f t="shared" si="81"/>
        <v>0.049067836239298786</v>
      </c>
      <c r="AH135" s="130">
        <f t="shared" si="82"/>
        <v>122.21808382657049</v>
      </c>
      <c r="AI135" s="130">
        <f t="shared" si="83"/>
        <v>33.067693473250046</v>
      </c>
      <c r="AJ135" s="130">
        <f t="shared" si="84"/>
        <v>13.175906470369913</v>
      </c>
      <c r="AK135" s="130">
        <f t="shared" si="93"/>
        <v>391.21763543023</v>
      </c>
      <c r="AL135" s="130">
        <f t="shared" si="85"/>
        <v>3614.576478507906</v>
      </c>
      <c r="AM135" s="130">
        <f t="shared" si="86"/>
        <v>2731.1657650882544</v>
      </c>
      <c r="AN135" s="130">
        <f t="shared" si="87"/>
        <v>2658.544916402467</v>
      </c>
      <c r="AO135" s="130">
        <f t="shared" si="88"/>
        <v>2628.5139594037037</v>
      </c>
      <c r="AP135" s="130">
        <f t="shared" si="89"/>
        <v>3455.632287753112</v>
      </c>
      <c r="AQ135" s="130">
        <f t="shared" si="90"/>
        <v>3182.227724799312</v>
      </c>
      <c r="AR135" s="130">
        <f t="shared" si="94"/>
        <v>299.8492441813151</v>
      </c>
      <c r="AS135" s="130">
        <f t="shared" si="95"/>
        <v>150.4490084662964</v>
      </c>
      <c r="AT135" s="130">
        <f t="shared" si="96"/>
        <v>-33.77511981940283</v>
      </c>
      <c r="AU135" s="130">
        <f t="shared" si="97"/>
        <v>58.307104684102846</v>
      </c>
      <c r="AV135" s="130">
        <f t="shared" si="98"/>
        <v>321.2519394297126</v>
      </c>
      <c r="AW135" s="130">
        <f t="shared" si="99"/>
        <v>43.847589234627954</v>
      </c>
      <c r="AX135" s="130">
        <f t="shared" si="100"/>
        <v>1559.1823452910728</v>
      </c>
      <c r="AY135" s="130">
        <f t="shared" si="101"/>
        <v>621.2601664650686</v>
      </c>
      <c r="AZ135" s="130">
        <f t="shared" si="102"/>
        <v>2720.5230337514786</v>
      </c>
      <c r="BA135" s="130">
        <f t="shared" si="103"/>
        <v>1136.6789409400262</v>
      </c>
      <c r="BB135" s="130">
        <f t="shared" si="104"/>
        <v>42.38422334739943</v>
      </c>
      <c r="BC135" s="130">
        <f t="shared" si="105"/>
        <v>1094.2947175926267</v>
      </c>
      <c r="BD135" s="129">
        <f t="shared" si="106"/>
        <v>7172.434350154901</v>
      </c>
      <c r="BE135" s="129">
        <f t="shared" si="110"/>
        <v>44.45190729395304</v>
      </c>
      <c r="BF135" s="130">
        <f t="shared" si="107"/>
        <v>2.387967090303261</v>
      </c>
      <c r="BG135" s="137">
        <f t="shared" si="108"/>
        <v>0.3280214896253648</v>
      </c>
      <c r="BH135" s="47"/>
      <c r="BI135" s="47"/>
      <c r="BJ135" s="47"/>
    </row>
    <row r="136" spans="1:62" ht="16.5" thickBot="1">
      <c r="A136" s="108">
        <f>IF(Data!A136&gt;0,Data!A136,"")</f>
        <v>116</v>
      </c>
      <c r="B136" s="109">
        <f>IF(A136&gt;0,IF(Data!$F$5="lb",Data!B136/2.204,Data!B136),"")</f>
        <v>39.790020231326565</v>
      </c>
      <c r="C136" s="109">
        <f>IF(A136&gt;0,Data!C136,"")</f>
        <v>0.10266777873039246</v>
      </c>
      <c r="D136" s="110">
        <f>IF(A136&gt;0,Data!D136,"")</f>
        <v>27.44174575805664</v>
      </c>
      <c r="E136" s="143">
        <f t="shared" si="58"/>
        <v>-0.28107802810860827</v>
      </c>
      <c r="F136" s="144">
        <f t="shared" si="59"/>
        <v>19.357469558555934</v>
      </c>
      <c r="G136" s="145">
        <f t="shared" si="60"/>
        <v>-8.135610088865903</v>
      </c>
      <c r="H136" s="111">
        <f>IF(A136&gt;0,IF(Data!$F$4="F",(Data!F136-32)/1.8,Data!F136),"")</f>
        <v>117.57414076063368</v>
      </c>
      <c r="I136" s="123">
        <f>IF(A136&gt;0,IF(Data!$F$4="F",(Data!G136-32)/1.8,Data!G136),"")</f>
        <v>26.557562086317272</v>
      </c>
      <c r="J136" s="136">
        <f t="shared" si="61"/>
        <v>0.9958962706154288</v>
      </c>
      <c r="K136" s="128">
        <f t="shared" si="62"/>
        <v>0.8678151628303593</v>
      </c>
      <c r="L136" s="128">
        <f t="shared" si="63"/>
        <v>0.864253884246276</v>
      </c>
      <c r="M136" s="155">
        <f t="shared" si="64"/>
        <v>4.466153398417796</v>
      </c>
      <c r="N136" s="130">
        <f t="shared" si="65"/>
        <v>39.790020231326565</v>
      </c>
      <c r="O136" s="130">
        <f t="shared" si="66"/>
        <v>66.01410456136888</v>
      </c>
      <c r="P136" s="130">
        <f t="shared" si="109"/>
        <v>36.53496073114527</v>
      </c>
      <c r="Q136" s="130">
        <f t="shared" si="67"/>
        <v>61.39348292840435</v>
      </c>
      <c r="R136" s="129">
        <f t="shared" si="91"/>
        <v>8011.016629730165</v>
      </c>
      <c r="S136" s="130">
        <f t="shared" si="68"/>
        <v>4.166666666666667</v>
      </c>
      <c r="T136" s="130">
        <f t="shared" si="69"/>
        <v>6.6</v>
      </c>
      <c r="U136" s="134">
        <f t="shared" si="92"/>
        <v>2.68125</v>
      </c>
      <c r="V136" s="130">
        <f t="shared" si="70"/>
        <v>19887</v>
      </c>
      <c r="W136" s="130">
        <f t="shared" si="71"/>
        <v>19.17</v>
      </c>
      <c r="X136" s="130">
        <f t="shared" si="72"/>
        <v>80.59119655207887</v>
      </c>
      <c r="Y136" s="130">
        <f t="shared" si="73"/>
        <v>21.376975212753017</v>
      </c>
      <c r="Z136" s="130">
        <f t="shared" si="74"/>
        <v>6.617313412715731</v>
      </c>
      <c r="AA136" s="130">
        <f t="shared" si="75"/>
        <v>21.781682896238213</v>
      </c>
      <c r="AB136" s="130">
        <f t="shared" si="76"/>
        <v>0.027725682861849066</v>
      </c>
      <c r="AC136" s="130">
        <f t="shared" si="77"/>
        <v>0.6584226845652152</v>
      </c>
      <c r="AD136" s="130">
        <f t="shared" si="78"/>
        <v>41.67800776210741</v>
      </c>
      <c r="AE136" s="130">
        <f t="shared" si="79"/>
        <v>-12.356211715637038</v>
      </c>
      <c r="AF136" s="130">
        <f t="shared" si="80"/>
        <v>0.15592989296562343</v>
      </c>
      <c r="AG136" s="130">
        <f t="shared" si="81"/>
        <v>0.04210924609949841</v>
      </c>
      <c r="AH136" s="130">
        <f t="shared" si="82"/>
        <v>122.40039482433187</v>
      </c>
      <c r="AI136" s="130">
        <f t="shared" si="83"/>
        <v>33.081610653529644</v>
      </c>
      <c r="AJ136" s="130">
        <f t="shared" si="84"/>
        <v>13.175906470369913</v>
      </c>
      <c r="AK136" s="130">
        <f t="shared" si="93"/>
        <v>390.72414076063365</v>
      </c>
      <c r="AL136" s="130">
        <f t="shared" si="85"/>
        <v>3599.8203393597773</v>
      </c>
      <c r="AM136" s="130">
        <f t="shared" si="86"/>
        <v>2720.389301361895</v>
      </c>
      <c r="AN136" s="130">
        <f t="shared" si="87"/>
        <v>2648.146357875735</v>
      </c>
      <c r="AO136" s="130">
        <f t="shared" si="88"/>
        <v>2618.2136911267253</v>
      </c>
      <c r="AP136" s="130">
        <f t="shared" si="89"/>
        <v>3440.707703932827</v>
      </c>
      <c r="AQ136" s="130">
        <f t="shared" si="90"/>
        <v>3169.8098431533863</v>
      </c>
      <c r="AR136" s="130">
        <f t="shared" si="94"/>
        <v>299.70756208631724</v>
      </c>
      <c r="AS136" s="130">
        <f t="shared" si="95"/>
        <v>150.03334004602894</v>
      </c>
      <c r="AT136" s="130">
        <f t="shared" si="96"/>
        <v>-33.6137061565815</v>
      </c>
      <c r="AU136" s="130">
        <f t="shared" si="97"/>
        <v>44.53999337816153</v>
      </c>
      <c r="AV136" s="130">
        <f t="shared" si="98"/>
        <v>320.4703895283825</v>
      </c>
      <c r="AW136" s="130">
        <f t="shared" si="99"/>
        <v>37.62868367840645</v>
      </c>
      <c r="AX136" s="130">
        <f t="shared" si="100"/>
        <v>1559.427753901971</v>
      </c>
      <c r="AY136" s="130">
        <f t="shared" si="101"/>
        <v>621.0965496179417</v>
      </c>
      <c r="AZ136" s="130">
        <f t="shared" si="102"/>
        <v>2699.5830039943103</v>
      </c>
      <c r="BA136" s="130">
        <f t="shared" si="103"/>
        <v>1087.4643907243592</v>
      </c>
      <c r="BB136" s="130">
        <f t="shared" si="104"/>
        <v>32.87496191495491</v>
      </c>
      <c r="BC136" s="130">
        <f t="shared" si="105"/>
        <v>1054.5894288094044</v>
      </c>
      <c r="BD136" s="129">
        <f t="shared" si="106"/>
        <v>6923.552239005806</v>
      </c>
      <c r="BE136" s="129">
        <f t="shared" si="110"/>
        <v>32.43497117758093</v>
      </c>
      <c r="BF136" s="130">
        <f t="shared" si="107"/>
        <v>1.7587567273771967</v>
      </c>
      <c r="BG136" s="137">
        <f t="shared" si="108"/>
        <v>0.2714037276761558</v>
      </c>
      <c r="BH136" s="47"/>
      <c r="BI136" s="47"/>
      <c r="BJ136" s="47"/>
    </row>
    <row r="137" spans="1:62" ht="16.5" thickBot="1">
      <c r="A137" s="108">
        <f>IF(Data!A137&gt;0,Data!A137,"")</f>
        <v>117</v>
      </c>
      <c r="B137" s="109">
        <f>IF(A137&gt;0,IF(Data!$F$5="lb",Data!B137/2.204,Data!B137),"")</f>
        <v>39.3276249215737</v>
      </c>
      <c r="C137" s="109">
        <f>IF(A137&gt;0,Data!C137,"")</f>
        <v>0.07964951545000076</v>
      </c>
      <c r="D137" s="110">
        <f>IF(A137&gt;0,Data!D137,"")</f>
        <v>27.441532135009766</v>
      </c>
      <c r="E137" s="143">
        <f t="shared" si="58"/>
        <v>-0.2804711532388704</v>
      </c>
      <c r="F137" s="144">
        <f t="shared" si="59"/>
        <v>19.358804318044495</v>
      </c>
      <c r="G137" s="145">
        <f t="shared" si="60"/>
        <v>-8.122552574690271</v>
      </c>
      <c r="H137" s="111">
        <f>IF(A137&gt;0,IF(Data!$F$4="F",(Data!F137-32)/1.8,Data!F137),"")</f>
        <v>117.33512878417969</v>
      </c>
      <c r="I137" s="123">
        <f>IF(A137&gt;0,IF(Data!$F$4="F",(Data!G137-32)/1.8,Data!G137),"")</f>
        <v>26.701736450195312</v>
      </c>
      <c r="J137" s="136">
        <f t="shared" si="61"/>
        <v>0.9966173262115581</v>
      </c>
      <c r="K137" s="128">
        <f t="shared" si="62"/>
        <v>0.8679910433004419</v>
      </c>
      <c r="L137" s="128">
        <f t="shared" si="63"/>
        <v>0.865054912749667</v>
      </c>
      <c r="M137" s="155">
        <f t="shared" si="64"/>
        <v>4.471025532899926</v>
      </c>
      <c r="N137" s="130">
        <f t="shared" si="65"/>
        <v>39.3276249215737</v>
      </c>
      <c r="O137" s="130">
        <f t="shared" si="66"/>
        <v>66.40905079555556</v>
      </c>
      <c r="P137" s="130">
        <f t="shared" si="109"/>
        <v>36.126741592786544</v>
      </c>
      <c r="Q137" s="130">
        <f t="shared" si="67"/>
        <v>61.824848360817775</v>
      </c>
      <c r="R137" s="129">
        <f t="shared" si="91"/>
        <v>7829.19262936069</v>
      </c>
      <c r="S137" s="130">
        <f t="shared" si="68"/>
        <v>4.166666666666667</v>
      </c>
      <c r="T137" s="130">
        <f t="shared" si="69"/>
        <v>6.6</v>
      </c>
      <c r="U137" s="134">
        <f t="shared" si="92"/>
        <v>2.68125</v>
      </c>
      <c r="V137" s="130">
        <f t="shared" si="70"/>
        <v>19887</v>
      </c>
      <c r="W137" s="130">
        <f t="shared" si="71"/>
        <v>19.17</v>
      </c>
      <c r="X137" s="130">
        <f t="shared" si="72"/>
        <v>80.60137092423051</v>
      </c>
      <c r="Y137" s="130">
        <f t="shared" si="73"/>
        <v>21.37967398520703</v>
      </c>
      <c r="Z137" s="130">
        <f t="shared" si="74"/>
        <v>6.610936944090018</v>
      </c>
      <c r="AA137" s="130">
        <f t="shared" si="75"/>
        <v>21.767314015666432</v>
      </c>
      <c r="AB137" s="130">
        <f t="shared" si="76"/>
        <v>0.024388949915312708</v>
      </c>
      <c r="AC137" s="130">
        <f t="shared" si="77"/>
        <v>0.6577882259369568</v>
      </c>
      <c r="AD137" s="130">
        <f t="shared" si="78"/>
        <v>41.717882827595325</v>
      </c>
      <c r="AE137" s="130">
        <f t="shared" si="79"/>
        <v>-12.34827905762598</v>
      </c>
      <c r="AF137" s="130">
        <f t="shared" si="80"/>
        <v>0.12108686703315127</v>
      </c>
      <c r="AG137" s="130">
        <f t="shared" si="81"/>
        <v>0.037077206544055975</v>
      </c>
      <c r="AH137" s="130">
        <f t="shared" si="82"/>
        <v>122.53392162716429</v>
      </c>
      <c r="AI137" s="130">
        <f t="shared" si="83"/>
        <v>33.09167473264053</v>
      </c>
      <c r="AJ137" s="130">
        <f t="shared" si="84"/>
        <v>13.175906470369913</v>
      </c>
      <c r="AK137" s="130">
        <f t="shared" si="93"/>
        <v>390.48512878417966</v>
      </c>
      <c r="AL137" s="130">
        <f t="shared" si="85"/>
        <v>3584.5402028121985</v>
      </c>
      <c r="AM137" s="130">
        <f t="shared" si="86"/>
        <v>2708.8975872610695</v>
      </c>
      <c r="AN137" s="130">
        <f t="shared" si="87"/>
        <v>2636.9734040340036</v>
      </c>
      <c r="AO137" s="130">
        <f t="shared" si="88"/>
        <v>2607.164177327808</v>
      </c>
      <c r="AP137" s="130">
        <f t="shared" si="89"/>
        <v>3425.9814043842257</v>
      </c>
      <c r="AQ137" s="130">
        <f t="shared" si="90"/>
        <v>3156.4402187581827</v>
      </c>
      <c r="AR137" s="130">
        <f t="shared" si="94"/>
        <v>299.8517364501953</v>
      </c>
      <c r="AS137" s="130">
        <f t="shared" si="95"/>
        <v>149.53942817172407</v>
      </c>
      <c r="AT137" s="130">
        <f t="shared" si="96"/>
        <v>-33.45022334602941</v>
      </c>
      <c r="AU137" s="130">
        <f t="shared" si="97"/>
        <v>34.5860386102568</v>
      </c>
      <c r="AV137" s="130">
        <f t="shared" si="98"/>
        <v>319.4660509738359</v>
      </c>
      <c r="AW137" s="130">
        <f t="shared" si="99"/>
        <v>33.13152368857714</v>
      </c>
      <c r="AX137" s="130">
        <f t="shared" si="100"/>
        <v>1559.4597393516417</v>
      </c>
      <c r="AY137" s="130">
        <f t="shared" si="101"/>
        <v>620.9203926973665</v>
      </c>
      <c r="AZ137" s="130">
        <f t="shared" si="102"/>
        <v>2683.6529501473724</v>
      </c>
      <c r="BA137" s="130">
        <f t="shared" si="103"/>
        <v>1056.5110824687424</v>
      </c>
      <c r="BB137" s="130">
        <f t="shared" si="104"/>
        <v>26.4835324844663</v>
      </c>
      <c r="BC137" s="130">
        <f t="shared" si="105"/>
        <v>1030.0275499842762</v>
      </c>
      <c r="BD137" s="129">
        <f t="shared" si="106"/>
        <v>6772.681546891948</v>
      </c>
      <c r="BE137" s="129">
        <f t="shared" si="110"/>
        <v>27.46140502907046</v>
      </c>
      <c r="BF137" s="130">
        <f t="shared" si="107"/>
        <v>1.334758756618551</v>
      </c>
      <c r="BG137" s="137">
        <f t="shared" si="108"/>
        <v>0.23354721552130095</v>
      </c>
      <c r="BH137" s="47"/>
      <c r="BI137" s="47"/>
      <c r="BJ137" s="47"/>
    </row>
    <row r="138" spans="1:62" ht="16.5" thickBot="1">
      <c r="A138" s="108">
        <f>IF(Data!A138&gt;0,Data!A138,"")</f>
        <v>118</v>
      </c>
      <c r="B138" s="109">
        <f>IF(A138&gt;0,IF(Data!$F$5="lb",Data!B138/2.204,Data!B138),"")</f>
        <v>38.89863071337802</v>
      </c>
      <c r="C138" s="109">
        <f>IF(A138&gt;0,Data!C138,"")</f>
        <v>0.06287349760532379</v>
      </c>
      <c r="D138" s="110">
        <f>IF(A138&gt;0,Data!D138,"")</f>
        <v>27.441471099853516</v>
      </c>
      <c r="E138" s="143">
        <f t="shared" si="58"/>
        <v>-0.28003068663237907</v>
      </c>
      <c r="F138" s="144">
        <f t="shared" si="59"/>
        <v>19.35977167024034</v>
      </c>
      <c r="G138" s="145">
        <f t="shared" si="60"/>
        <v>-8.113136178415836</v>
      </c>
      <c r="H138" s="111">
        <f>IF(A138&gt;0,IF(Data!$F$4="F",(Data!F138-32)/1.8,Data!F138),"")</f>
        <v>117.24693298339844</v>
      </c>
      <c r="I138" s="123">
        <f>IF(A138&gt;0,IF(Data!$F$4="F",(Data!G138-32)/1.8,Data!G138),"")</f>
        <v>26.56203375922309</v>
      </c>
      <c r="J138" s="136">
        <f t="shared" si="61"/>
        <v>0.9971437170775138</v>
      </c>
      <c r="K138" s="128">
        <f t="shared" si="62"/>
        <v>0.8680129073841018</v>
      </c>
      <c r="L138" s="128">
        <f t="shared" si="63"/>
        <v>0.865533616940243</v>
      </c>
      <c r="M138" s="155">
        <f t="shared" si="64"/>
        <v>4.4745672238796805</v>
      </c>
      <c r="N138" s="130">
        <f t="shared" si="65"/>
        <v>38.89863071337802</v>
      </c>
      <c r="O138" s="130">
        <f t="shared" si="66"/>
        <v>66.77546810870983</v>
      </c>
      <c r="P138" s="130">
        <f t="shared" si="109"/>
        <v>35.7475928396221</v>
      </c>
      <c r="Q138" s="130">
        <f t="shared" si="67"/>
        <v>62.22549509804662</v>
      </c>
      <c r="R138" s="129">
        <f t="shared" si="91"/>
        <v>8886.907445864405</v>
      </c>
      <c r="S138" s="130">
        <f t="shared" si="68"/>
        <v>4.166666666666667</v>
      </c>
      <c r="T138" s="130">
        <f t="shared" si="69"/>
        <v>6.6</v>
      </c>
      <c r="U138" s="134">
        <f t="shared" si="92"/>
        <v>2.68125</v>
      </c>
      <c r="V138" s="130">
        <f t="shared" si="70"/>
        <v>19887</v>
      </c>
      <c r="W138" s="130">
        <f t="shared" si="71"/>
        <v>19.17</v>
      </c>
      <c r="X138" s="130">
        <f t="shared" si="72"/>
        <v>80.60879158095699</v>
      </c>
      <c r="Y138" s="130">
        <f t="shared" si="73"/>
        <v>21.38164232916631</v>
      </c>
      <c r="Z138" s="130">
        <f t="shared" si="74"/>
        <v>6.606312444232124</v>
      </c>
      <c r="AA138" s="130">
        <f t="shared" si="75"/>
        <v>21.756916558949314</v>
      </c>
      <c r="AB138" s="130">
        <f t="shared" si="76"/>
        <v>0.021957253508347208</v>
      </c>
      <c r="AC138" s="130">
        <f t="shared" si="77"/>
        <v>0.6573280882010963</v>
      </c>
      <c r="AD138" s="130">
        <f t="shared" si="78"/>
        <v>41.74699300459278</v>
      </c>
      <c r="AE138" s="130">
        <f t="shared" si="79"/>
        <v>-12.342597743873961</v>
      </c>
      <c r="AF138" s="130">
        <f t="shared" si="80"/>
        <v>0.0956501003591511</v>
      </c>
      <c r="AG138" s="130">
        <f t="shared" si="81"/>
        <v>0.03340379622060183</v>
      </c>
      <c r="AH138" s="130">
        <f t="shared" si="82"/>
        <v>122.63098599902877</v>
      </c>
      <c r="AI138" s="130">
        <f t="shared" si="83"/>
        <v>33.099021553287436</v>
      </c>
      <c r="AJ138" s="130">
        <f t="shared" si="84"/>
        <v>13.175906470369913</v>
      </c>
      <c r="AK138" s="130">
        <f t="shared" si="93"/>
        <v>390.3969329833984</v>
      </c>
      <c r="AL138" s="130">
        <f t="shared" si="85"/>
        <v>3586.2776235720785</v>
      </c>
      <c r="AM138" s="130">
        <f t="shared" si="86"/>
        <v>2710.3440504842592</v>
      </c>
      <c r="AN138" s="130">
        <f t="shared" si="87"/>
        <v>2638.414126614763</v>
      </c>
      <c r="AO138" s="130">
        <f t="shared" si="88"/>
        <v>2608.5817592614317</v>
      </c>
      <c r="AP138" s="130">
        <f t="shared" si="89"/>
        <v>3427.349712446867</v>
      </c>
      <c r="AQ138" s="130">
        <f t="shared" si="90"/>
        <v>3158.175120600028</v>
      </c>
      <c r="AR138" s="130">
        <f t="shared" si="94"/>
        <v>299.71203375922306</v>
      </c>
      <c r="AS138" s="130">
        <f t="shared" si="95"/>
        <v>149.71630686379117</v>
      </c>
      <c r="AT138" s="130">
        <f t="shared" si="96"/>
        <v>-33.45268636262923</v>
      </c>
      <c r="AU138" s="130">
        <f t="shared" si="97"/>
        <v>27.320673426936953</v>
      </c>
      <c r="AV138" s="130">
        <f t="shared" si="98"/>
        <v>319.8929531973105</v>
      </c>
      <c r="AW138" s="130">
        <f t="shared" si="99"/>
        <v>29.849076119917353</v>
      </c>
      <c r="AX138" s="130">
        <f t="shared" si="100"/>
        <v>1559.8633850622916</v>
      </c>
      <c r="AY138" s="130">
        <f t="shared" si="101"/>
        <v>620.9432516017699</v>
      </c>
      <c r="AZ138" s="130">
        <f t="shared" si="102"/>
        <v>2674.1329599093883</v>
      </c>
      <c r="BA138" s="130">
        <f t="shared" si="103"/>
        <v>1194.99030083221</v>
      </c>
      <c r="BB138" s="130">
        <f t="shared" si="104"/>
        <v>25.383446927873674</v>
      </c>
      <c r="BC138" s="130">
        <f t="shared" si="105"/>
        <v>1169.6068539043365</v>
      </c>
      <c r="BD138" s="129">
        <f t="shared" si="106"/>
        <v>7691.917145032195</v>
      </c>
      <c r="BE138" s="129">
        <f t="shared" si="110"/>
        <v>21.536748134622552</v>
      </c>
      <c r="BF138" s="130">
        <f t="shared" si="107"/>
        <v>1.1968089955359626</v>
      </c>
      <c r="BG138" s="137">
        <f t="shared" si="108"/>
        <v>0.2388345716120108</v>
      </c>
      <c r="BH138" s="47"/>
      <c r="BI138" s="47"/>
      <c r="BJ138" s="47"/>
    </row>
    <row r="139" spans="1:62" ht="16.5" thickBot="1">
      <c r="A139" s="108">
        <f>IF(Data!A139&gt;0,Data!A139,"")</f>
        <v>119</v>
      </c>
      <c r="B139" s="109">
        <f>IF(A139&gt;0,IF(Data!$F$5="lb",Data!B139/2.204,Data!B139),"")</f>
        <v>38.31710746197432</v>
      </c>
      <c r="C139" s="109">
        <f>IF(A139&gt;0,Data!C139,"")</f>
        <v>0.060227859765291214</v>
      </c>
      <c r="D139" s="110">
        <f>IF(A139&gt;0,Data!D139,"")</f>
        <v>27.44162368774414</v>
      </c>
      <c r="E139" s="143">
        <f t="shared" si="58"/>
        <v>-0.2799654212280783</v>
      </c>
      <c r="F139" s="144">
        <f t="shared" si="59"/>
        <v>19.359914905362473</v>
      </c>
      <c r="G139" s="145">
        <f t="shared" si="60"/>
        <v>-8.111822712264313</v>
      </c>
      <c r="H139" s="111">
        <f>IF(A139&gt;0,IF(Data!$F$4="F",(Data!F139-32)/1.8,Data!F139),"")</f>
        <v>117.01080322265625</v>
      </c>
      <c r="I139" s="123">
        <f>IF(A139&gt;0,IF(Data!$F$4="F",(Data!G139-32)/1.8,Data!G139),"")</f>
        <v>26.73646291097005</v>
      </c>
      <c r="J139" s="136">
        <f t="shared" si="61"/>
        <v>0.9972267958744523</v>
      </c>
      <c r="K139" s="128">
        <f t="shared" si="62"/>
        <v>0.8681522573822462</v>
      </c>
      <c r="L139" s="128">
        <f t="shared" si="63"/>
        <v>0.8657446939604699</v>
      </c>
      <c r="M139" s="155">
        <f t="shared" si="64"/>
        <v>4.475100312102229</v>
      </c>
      <c r="N139" s="130">
        <f t="shared" si="65"/>
        <v>38.31710746197432</v>
      </c>
      <c r="O139" s="130">
        <f t="shared" si="66"/>
        <v>67.27216522779747</v>
      </c>
      <c r="P139" s="130">
        <f t="shared" si="109"/>
        <v>35.233001215065975</v>
      </c>
      <c r="Q139" s="130">
        <f t="shared" si="67"/>
        <v>62.76926440669652</v>
      </c>
      <c r="R139" s="129">
        <f t="shared" si="91"/>
        <v>12062.891668775905</v>
      </c>
      <c r="S139" s="130">
        <f t="shared" si="68"/>
        <v>4.166666666666667</v>
      </c>
      <c r="T139" s="130">
        <f t="shared" si="69"/>
        <v>6.6</v>
      </c>
      <c r="U139" s="134">
        <f t="shared" si="92"/>
        <v>2.68125</v>
      </c>
      <c r="V139" s="130">
        <f t="shared" si="70"/>
        <v>19887</v>
      </c>
      <c r="W139" s="130">
        <f t="shared" si="71"/>
        <v>19.17</v>
      </c>
      <c r="X139" s="130">
        <f t="shared" si="72"/>
        <v>80.60997116475488</v>
      </c>
      <c r="Y139" s="130">
        <f t="shared" si="73"/>
        <v>21.381955216115355</v>
      </c>
      <c r="Z139" s="130">
        <f t="shared" si="74"/>
        <v>6.605622140774044</v>
      </c>
      <c r="AA139" s="130">
        <f t="shared" si="75"/>
        <v>21.755404986456167</v>
      </c>
      <c r="AB139" s="130">
        <f t="shared" si="76"/>
        <v>0.02157403904908861</v>
      </c>
      <c r="AC139" s="130">
        <f t="shared" si="77"/>
        <v>0.6572594030070175</v>
      </c>
      <c r="AD139" s="130">
        <f t="shared" si="78"/>
        <v>41.751587823919124</v>
      </c>
      <c r="AE139" s="130">
        <f t="shared" si="79"/>
        <v>-12.341889176711717</v>
      </c>
      <c r="AF139" s="130">
        <f t="shared" si="80"/>
        <v>0.09163483928832916</v>
      </c>
      <c r="AG139" s="130">
        <f t="shared" si="81"/>
        <v>0.03282423796507978</v>
      </c>
      <c r="AH139" s="130">
        <f t="shared" si="82"/>
        <v>122.64559593359552</v>
      </c>
      <c r="AI139" s="130">
        <f t="shared" si="83"/>
        <v>33.100180669798476</v>
      </c>
      <c r="AJ139" s="130">
        <f t="shared" si="84"/>
        <v>13.175906470369913</v>
      </c>
      <c r="AK139" s="130">
        <f t="shared" si="93"/>
        <v>390.1608032226562</v>
      </c>
      <c r="AL139" s="130">
        <f t="shared" si="85"/>
        <v>3569.9606579515976</v>
      </c>
      <c r="AM139" s="130">
        <f t="shared" si="86"/>
        <v>2698.048410031011</v>
      </c>
      <c r="AN139" s="130">
        <f t="shared" si="87"/>
        <v>2626.453604401489</v>
      </c>
      <c r="AO139" s="130">
        <f t="shared" si="88"/>
        <v>2596.754626514654</v>
      </c>
      <c r="AP139" s="130">
        <f t="shared" si="89"/>
        <v>3411.6770684518356</v>
      </c>
      <c r="AQ139" s="130">
        <f t="shared" si="90"/>
        <v>3143.86119924387</v>
      </c>
      <c r="AR139" s="130">
        <f t="shared" si="94"/>
        <v>299.88646291097</v>
      </c>
      <c r="AS139" s="130">
        <f t="shared" si="95"/>
        <v>149.05152593840225</v>
      </c>
      <c r="AT139" s="130">
        <f t="shared" si="96"/>
        <v>-33.29901447000599</v>
      </c>
      <c r="AU139" s="130">
        <f t="shared" si="97"/>
        <v>26.17269272865972</v>
      </c>
      <c r="AV139" s="130">
        <f t="shared" si="98"/>
        <v>318.48051866221095</v>
      </c>
      <c r="AW139" s="130">
        <f t="shared" si="99"/>
        <v>29.330678069998427</v>
      </c>
      <c r="AX139" s="130">
        <f t="shared" si="100"/>
        <v>1559.4442175661104</v>
      </c>
      <c r="AY139" s="130">
        <f t="shared" si="101"/>
        <v>620.754652712757</v>
      </c>
      <c r="AZ139" s="130">
        <f t="shared" si="102"/>
        <v>2669.9352712081327</v>
      </c>
      <c r="BA139" s="130">
        <f t="shared" si="103"/>
        <v>1619.5072127132055</v>
      </c>
      <c r="BB139" s="130">
        <f t="shared" si="104"/>
        <v>33.45276056107984</v>
      </c>
      <c r="BC139" s="130">
        <f t="shared" si="105"/>
        <v>1586.0544521521256</v>
      </c>
      <c r="BD139" s="129">
        <f t="shared" si="106"/>
        <v>10443.384456062699</v>
      </c>
      <c r="BE139" s="129">
        <f t="shared" si="110"/>
        <v>28.380093683196446</v>
      </c>
      <c r="BF139" s="130">
        <f t="shared" si="107"/>
        <v>1.556326841845554</v>
      </c>
      <c r="BG139" s="137">
        <f t="shared" si="108"/>
        <v>0.3185640683323808</v>
      </c>
      <c r="BH139" s="47"/>
      <c r="BI139" s="47"/>
      <c r="BJ139" s="47"/>
    </row>
    <row r="140" spans="1:62" ht="16.5" thickBot="1">
      <c r="A140" s="108">
        <f>IF(Data!A140&gt;0,Data!A140,"")</f>
        <v>120</v>
      </c>
      <c r="B140" s="109">
        <f>IF(A140&gt;0,IF(Data!$F$5="lb",Data!B140/2.204,Data!B140),"")</f>
        <v>37.529005545669804</v>
      </c>
      <c r="C140" s="109">
        <f>IF(A140&gt;0,Data!C140,"")</f>
        <v>0.06020347774028778</v>
      </c>
      <c r="D140" s="110">
        <f>IF(A140&gt;0,Data!D140,"")</f>
        <v>27.441532135009766</v>
      </c>
      <c r="E140" s="143">
        <f t="shared" si="58"/>
        <v>-0.2799623858910796</v>
      </c>
      <c r="F140" s="144">
        <f t="shared" si="59"/>
        <v>19.359921566251646</v>
      </c>
      <c r="G140" s="145">
        <f t="shared" si="60"/>
        <v>-8.111712307628263</v>
      </c>
      <c r="H140" s="111">
        <f>IF(A140&gt;0,IF(Data!$F$4="F",(Data!F140-32)/1.8,Data!F140),"")</f>
        <v>117.28062947591145</v>
      </c>
      <c r="I140" s="123">
        <f>IF(A140&gt;0,IF(Data!$F$4="F",(Data!G140-32)/1.8,Data!G140),"")</f>
        <v>26.727159288194443</v>
      </c>
      <c r="J140" s="136">
        <f t="shared" si="61"/>
        <v>0.9972275628684992</v>
      </c>
      <c r="K140" s="128">
        <f t="shared" si="62"/>
        <v>0.8680605397856708</v>
      </c>
      <c r="L140" s="128">
        <f t="shared" si="63"/>
        <v>0.8656538965127784</v>
      </c>
      <c r="M140" s="155">
        <f t="shared" si="64"/>
        <v>4.475120068945102</v>
      </c>
      <c r="N140" s="130">
        <f t="shared" si="65"/>
        <v>37.529005545669804</v>
      </c>
      <c r="O140" s="130">
        <f t="shared" si="66"/>
        <v>67.94530761794441</v>
      </c>
      <c r="P140" s="130">
        <f t="shared" si="109"/>
        <v>34.5344494123806</v>
      </c>
      <c r="Q140" s="130">
        <f t="shared" si="67"/>
        <v>63.5074245567573</v>
      </c>
      <c r="R140" s="129">
        <f t="shared" si="91"/>
        <v>10972.824565408398</v>
      </c>
      <c r="S140" s="130">
        <f t="shared" si="68"/>
        <v>4.166666666666667</v>
      </c>
      <c r="T140" s="130">
        <f t="shared" si="69"/>
        <v>6.6</v>
      </c>
      <c r="U140" s="134">
        <f t="shared" si="92"/>
        <v>2.68125</v>
      </c>
      <c r="V140" s="130">
        <f t="shared" si="70"/>
        <v>19887</v>
      </c>
      <c r="W140" s="130">
        <f t="shared" si="71"/>
        <v>19.17</v>
      </c>
      <c r="X140" s="130">
        <f t="shared" si="72"/>
        <v>80.60997669487821</v>
      </c>
      <c r="Y140" s="130">
        <f t="shared" si="73"/>
        <v>21.381956682991568</v>
      </c>
      <c r="Z140" s="130">
        <f t="shared" si="74"/>
        <v>6.605593431317775</v>
      </c>
      <c r="AA140" s="130">
        <f t="shared" si="75"/>
        <v>21.755317621200636</v>
      </c>
      <c r="AB140" s="130">
        <f t="shared" si="76"/>
        <v>0.021570351074011285</v>
      </c>
      <c r="AC140" s="130">
        <f t="shared" si="77"/>
        <v>0.6572565464161186</v>
      </c>
      <c r="AD140" s="130">
        <f t="shared" si="78"/>
        <v>41.75162999081965</v>
      </c>
      <c r="AE140" s="130">
        <f t="shared" si="79"/>
        <v>-12.341774839459143</v>
      </c>
      <c r="AF140" s="130">
        <f t="shared" si="80"/>
        <v>0.09159814089120093</v>
      </c>
      <c r="AG140" s="130">
        <f t="shared" si="81"/>
        <v>0.03281876946168107</v>
      </c>
      <c r="AH140" s="130">
        <f t="shared" si="82"/>
        <v>122.64613739403194</v>
      </c>
      <c r="AI140" s="130">
        <f t="shared" si="83"/>
        <v>33.10019160680528</v>
      </c>
      <c r="AJ140" s="130">
        <f t="shared" si="84"/>
        <v>13.175906470369913</v>
      </c>
      <c r="AK140" s="130">
        <f t="shared" si="93"/>
        <v>390.4306294759114</v>
      </c>
      <c r="AL140" s="130">
        <f t="shared" si="85"/>
        <v>3581.34111301305</v>
      </c>
      <c r="AM140" s="130">
        <f t="shared" si="86"/>
        <v>2706.496984533333</v>
      </c>
      <c r="AN140" s="130">
        <f t="shared" si="87"/>
        <v>2634.6407013953267</v>
      </c>
      <c r="AO140" s="130">
        <f t="shared" si="88"/>
        <v>2604.8569711057703</v>
      </c>
      <c r="AP140" s="130">
        <f t="shared" si="89"/>
        <v>3422.886589402901</v>
      </c>
      <c r="AQ140" s="130">
        <f t="shared" si="90"/>
        <v>3153.6493093432605</v>
      </c>
      <c r="AR140" s="130">
        <f t="shared" si="94"/>
        <v>299.87715928819443</v>
      </c>
      <c r="AS140" s="130">
        <f t="shared" si="95"/>
        <v>149.5268290214311</v>
      </c>
      <c r="AT140" s="130">
        <f t="shared" si="96"/>
        <v>-33.40297638678553</v>
      </c>
      <c r="AU140" s="130">
        <f t="shared" si="97"/>
        <v>26.16296087538773</v>
      </c>
      <c r="AV140" s="130">
        <f t="shared" si="98"/>
        <v>319.4756459700402</v>
      </c>
      <c r="AW140" s="130">
        <f t="shared" si="99"/>
        <v>29.326159474803273</v>
      </c>
      <c r="AX140" s="130">
        <f t="shared" si="100"/>
        <v>1559.7687211595523</v>
      </c>
      <c r="AY140" s="130">
        <f t="shared" si="101"/>
        <v>620.8836199359482</v>
      </c>
      <c r="AZ140" s="130">
        <f t="shared" si="102"/>
        <v>2671.740960050377</v>
      </c>
      <c r="BA140" s="130">
        <f t="shared" si="103"/>
        <v>1474.1562246114847</v>
      </c>
      <c r="BB140" s="130">
        <f t="shared" si="104"/>
        <v>30.421374965569292</v>
      </c>
      <c r="BC140" s="130">
        <f t="shared" si="105"/>
        <v>1443.7348496459153</v>
      </c>
      <c r="BD140" s="129">
        <f t="shared" si="106"/>
        <v>9498.668340796914</v>
      </c>
      <c r="BE140" s="129">
        <f t="shared" si="110"/>
        <v>38.514973042801806</v>
      </c>
      <c r="BF140" s="130">
        <f t="shared" si="107"/>
        <v>1.4151219014666796</v>
      </c>
      <c r="BG140" s="137">
        <f t="shared" si="108"/>
        <v>0.28972864665810555</v>
      </c>
      <c r="BH140" s="47"/>
      <c r="BI140" s="47"/>
      <c r="BJ140" s="47"/>
    </row>
    <row r="141" spans="1:62" ht="16.5" thickBot="1">
      <c r="A141" s="108">
        <f>IF(Data!A141&gt;0,Data!A141,"")</f>
        <v>121</v>
      </c>
      <c r="B141" s="109">
        <f>IF(A141&gt;0,IF(Data!$F$5="lb",Data!B141/2.204,Data!B141),"")</f>
        <v>37.072806522764004</v>
      </c>
      <c r="C141" s="109">
        <f>IF(A141&gt;0,Data!C141,"")</f>
        <v>0.06286130845546722</v>
      </c>
      <c r="D141" s="110">
        <f>IF(A141&gt;0,Data!D141,"")</f>
        <v>27.441837310791016</v>
      </c>
      <c r="E141" s="143">
        <f t="shared" si="58"/>
        <v>-0.2800399535880689</v>
      </c>
      <c r="F141" s="144">
        <f t="shared" si="59"/>
        <v>19.35975133035345</v>
      </c>
      <c r="G141" s="145">
        <f t="shared" si="60"/>
        <v>-8.113516634665299</v>
      </c>
      <c r="H141" s="111">
        <f>IF(A141&gt;0,IF(Data!$F$4="F",(Data!F141-32)/1.8,Data!F141),"")</f>
        <v>117.47067769368489</v>
      </c>
      <c r="I141" s="123">
        <f>IF(A141&gt;0,IF(Data!$F$4="F",(Data!G141-32)/1.8,Data!G141),"")</f>
        <v>26.48868136935764</v>
      </c>
      <c r="J141" s="136">
        <f t="shared" si="61"/>
        <v>0.9971440959421795</v>
      </c>
      <c r="K141" s="128">
        <f t="shared" si="62"/>
        <v>0.8679162100256382</v>
      </c>
      <c r="L141" s="128">
        <f t="shared" si="63"/>
        <v>0.8654375245995779</v>
      </c>
      <c r="M141" s="155">
        <f t="shared" si="64"/>
        <v>4.4745113306831374</v>
      </c>
      <c r="N141" s="130">
        <f t="shared" si="65"/>
        <v>37.072806522764004</v>
      </c>
      <c r="O141" s="130">
        <f t="shared" si="66"/>
        <v>68.3349614105674</v>
      </c>
      <c r="P141" s="130">
        <f t="shared" si="109"/>
        <v>34.12948388561373</v>
      </c>
      <c r="Q141" s="130">
        <f t="shared" si="67"/>
        <v>63.93535189565834</v>
      </c>
      <c r="R141" s="129">
        <f t="shared" si="91"/>
        <v>7893.505738374409</v>
      </c>
      <c r="S141" s="130">
        <f t="shared" si="68"/>
        <v>4.166666666666667</v>
      </c>
      <c r="T141" s="130">
        <f t="shared" si="69"/>
        <v>6.6</v>
      </c>
      <c r="U141" s="134">
        <f t="shared" si="92"/>
        <v>2.68125</v>
      </c>
      <c r="V141" s="130">
        <f t="shared" si="70"/>
        <v>19887</v>
      </c>
      <c r="W141" s="130">
        <f t="shared" si="71"/>
        <v>19.17</v>
      </c>
      <c r="X141" s="130">
        <f t="shared" si="72"/>
        <v>80.60881801541882</v>
      </c>
      <c r="Y141" s="130">
        <f t="shared" si="73"/>
        <v>21.3816493409599</v>
      </c>
      <c r="Z141" s="130">
        <f t="shared" si="74"/>
        <v>6.606397133214807</v>
      </c>
      <c r="AA141" s="130">
        <f t="shared" si="75"/>
        <v>21.7571983346451</v>
      </c>
      <c r="AB141" s="130">
        <f t="shared" si="76"/>
        <v>0.02195610248188018</v>
      </c>
      <c r="AC141" s="130">
        <f t="shared" si="77"/>
        <v>0.6573365147548732</v>
      </c>
      <c r="AD141" s="130">
        <f t="shared" si="78"/>
        <v>41.74701495325317</v>
      </c>
      <c r="AE141" s="130">
        <f t="shared" si="79"/>
        <v>-12.343018305762161</v>
      </c>
      <c r="AF141" s="130">
        <f t="shared" si="80"/>
        <v>0.09563033095599258</v>
      </c>
      <c r="AG141" s="130">
        <f t="shared" si="81"/>
        <v>0.03340161696337197</v>
      </c>
      <c r="AH141" s="130">
        <f t="shared" si="82"/>
        <v>122.6294541776347</v>
      </c>
      <c r="AI141" s="130">
        <f t="shared" si="83"/>
        <v>33.0990259118019</v>
      </c>
      <c r="AJ141" s="130">
        <f t="shared" si="84"/>
        <v>13.175906470369913</v>
      </c>
      <c r="AK141" s="130">
        <f t="shared" si="93"/>
        <v>390.62067769368485</v>
      </c>
      <c r="AL141" s="130">
        <f t="shared" si="85"/>
        <v>3598.2252012226654</v>
      </c>
      <c r="AM141" s="130">
        <f t="shared" si="86"/>
        <v>2719.285110669109</v>
      </c>
      <c r="AN141" s="130">
        <f t="shared" si="87"/>
        <v>2647.096272674873</v>
      </c>
      <c r="AO141" s="130">
        <f t="shared" si="88"/>
        <v>2617.170274985766</v>
      </c>
      <c r="AP141" s="130">
        <f t="shared" si="89"/>
        <v>3438.961339241621</v>
      </c>
      <c r="AQ141" s="130">
        <f t="shared" si="90"/>
        <v>3168.560764458021</v>
      </c>
      <c r="AR141" s="130">
        <f t="shared" si="94"/>
        <v>299.63868136935764</v>
      </c>
      <c r="AS141" s="130">
        <f t="shared" si="95"/>
        <v>150.215161280615</v>
      </c>
      <c r="AT141" s="130">
        <f t="shared" si="96"/>
        <v>-33.5641858995753</v>
      </c>
      <c r="AU141" s="130">
        <f t="shared" si="97"/>
        <v>27.31585694085748</v>
      </c>
      <c r="AV141" s="130">
        <f t="shared" si="98"/>
        <v>320.9421623114346</v>
      </c>
      <c r="AW141" s="130">
        <f t="shared" si="99"/>
        <v>29.847516619052527</v>
      </c>
      <c r="AX141" s="130">
        <f t="shared" si="100"/>
        <v>1560.2073451619328</v>
      </c>
      <c r="AY141" s="130">
        <f t="shared" si="101"/>
        <v>621.0800918738774</v>
      </c>
      <c r="AZ141" s="130">
        <f t="shared" si="102"/>
        <v>2676.0439482881943</v>
      </c>
      <c r="BA141" s="130">
        <f t="shared" si="103"/>
        <v>1062.169671743097</v>
      </c>
      <c r="BB141" s="130">
        <f t="shared" si="104"/>
        <v>22.543028417017453</v>
      </c>
      <c r="BC141" s="130">
        <f t="shared" si="105"/>
        <v>1039.6266433260796</v>
      </c>
      <c r="BD141" s="129">
        <f t="shared" si="106"/>
        <v>6831.336066631312</v>
      </c>
      <c r="BE141" s="129">
        <f t="shared" si="110"/>
        <v>23.000164499316348</v>
      </c>
      <c r="BF141" s="130">
        <f t="shared" si="107"/>
        <v>1.0628068513393472</v>
      </c>
      <c r="BG141" s="137">
        <f t="shared" si="108"/>
        <v>0.21212318010467993</v>
      </c>
      <c r="BH141" s="47"/>
      <c r="BI141" s="47"/>
      <c r="BJ141" s="47"/>
    </row>
    <row r="142" spans="1:62" ht="16.5" thickBot="1">
      <c r="A142" s="108">
        <f>IF(Data!A142&gt;0,Data!A142,"")</f>
        <v>122</v>
      </c>
      <c r="B142" s="109">
        <f>IF(A142&gt;0,IF(Data!$F$5="lb",Data!B142/2.204,Data!B142),"")</f>
        <v>36.63520328362494</v>
      </c>
      <c r="C142" s="109">
        <f>IF(A142&gt;0,Data!C142,"")</f>
        <v>0.06549475342035294</v>
      </c>
      <c r="D142" s="110">
        <f>IF(A142&gt;0,Data!D142,"")</f>
        <v>27.44150161743164</v>
      </c>
      <c r="E142" s="143">
        <f t="shared" si="58"/>
        <v>-0.2801000942639261</v>
      </c>
      <c r="F142" s="144">
        <f t="shared" si="59"/>
        <v>19.359619315857742</v>
      </c>
      <c r="G142" s="145">
        <f t="shared" si="60"/>
        <v>-8.114629678284075</v>
      </c>
      <c r="H142" s="111">
        <f>IF(A142&gt;0,IF(Data!$F$4="F",(Data!F142-32)/1.8,Data!F142),"")</f>
        <v>117.86552429199219</v>
      </c>
      <c r="I142" s="123">
        <f>IF(A142&gt;0,IF(Data!$F$4="F",(Data!G142-32)/1.8,Data!G142),"")</f>
        <v>26.618677775065102</v>
      </c>
      <c r="J142" s="136">
        <f t="shared" si="61"/>
        <v>0.9970614196775747</v>
      </c>
      <c r="K142" s="128">
        <f t="shared" si="62"/>
        <v>0.8678216920880495</v>
      </c>
      <c r="L142" s="128">
        <f t="shared" si="63"/>
        <v>0.8652715283403059</v>
      </c>
      <c r="M142" s="155">
        <f t="shared" si="64"/>
        <v>4.47401015861931</v>
      </c>
      <c r="N142" s="130">
        <f t="shared" si="65"/>
        <v>36.63520328362494</v>
      </c>
      <c r="O142" s="130">
        <f t="shared" si="66"/>
        <v>68.7087319651568</v>
      </c>
      <c r="P142" s="130">
        <f t="shared" si="109"/>
        <v>33.740613666579385</v>
      </c>
      <c r="Q142" s="130">
        <f t="shared" si="67"/>
        <v>64.34627131227582</v>
      </c>
      <c r="R142" s="129">
        <f t="shared" si="91"/>
        <v>7774.0244191832635</v>
      </c>
      <c r="S142" s="130">
        <f t="shared" si="68"/>
        <v>4.166666666666667</v>
      </c>
      <c r="T142" s="130">
        <f t="shared" si="69"/>
        <v>6.6</v>
      </c>
      <c r="U142" s="134">
        <f t="shared" si="92"/>
        <v>2.68125</v>
      </c>
      <c r="V142" s="130">
        <f t="shared" si="70"/>
        <v>19887</v>
      </c>
      <c r="W142" s="130">
        <f t="shared" si="71"/>
        <v>19.17</v>
      </c>
      <c r="X142" s="130">
        <f t="shared" si="72"/>
        <v>80.60763330743208</v>
      </c>
      <c r="Y142" s="130">
        <f t="shared" si="73"/>
        <v>21.38133509480957</v>
      </c>
      <c r="Z142" s="130">
        <f t="shared" si="74"/>
        <v>6.6070400670332585</v>
      </c>
      <c r="AA142" s="130">
        <f t="shared" si="75"/>
        <v>21.758557737636583</v>
      </c>
      <c r="AB142" s="130">
        <f t="shared" si="76"/>
        <v>0.022337241786583917</v>
      </c>
      <c r="AC142" s="130">
        <f t="shared" si="77"/>
        <v>0.6574004866698092</v>
      </c>
      <c r="AD142" s="130">
        <f t="shared" si="78"/>
        <v>41.74244189632706</v>
      </c>
      <c r="AE142" s="130">
        <f t="shared" si="79"/>
        <v>-12.343510299772243</v>
      </c>
      <c r="AF142" s="130">
        <f t="shared" si="80"/>
        <v>0.09962687090806614</v>
      </c>
      <c r="AG142" s="130">
        <f t="shared" si="81"/>
        <v>0.0339781339374079</v>
      </c>
      <c r="AH142" s="130">
        <f t="shared" si="82"/>
        <v>122.61571894442278</v>
      </c>
      <c r="AI142" s="130">
        <f t="shared" si="83"/>
        <v>33.097872877853824</v>
      </c>
      <c r="AJ142" s="130">
        <f t="shared" si="84"/>
        <v>13.175906470369913</v>
      </c>
      <c r="AK142" s="130">
        <f t="shared" si="93"/>
        <v>391.01552429199216</v>
      </c>
      <c r="AL142" s="130">
        <f t="shared" si="85"/>
        <v>3609.3941070138208</v>
      </c>
      <c r="AM142" s="130">
        <f t="shared" si="86"/>
        <v>2727.416503696829</v>
      </c>
      <c r="AN142" s="130">
        <f t="shared" si="87"/>
        <v>2654.936109267299</v>
      </c>
      <c r="AO142" s="130">
        <f t="shared" si="88"/>
        <v>2624.937363552925</v>
      </c>
      <c r="AP142" s="130">
        <f t="shared" si="89"/>
        <v>3450.3131437594197</v>
      </c>
      <c r="AQ142" s="130">
        <f t="shared" si="90"/>
        <v>3177.9209878773495</v>
      </c>
      <c r="AR142" s="130">
        <f t="shared" si="94"/>
        <v>299.7686777750651</v>
      </c>
      <c r="AS142" s="130">
        <f t="shared" si="95"/>
        <v>150.66492379296972</v>
      </c>
      <c r="AT142" s="130">
        <f t="shared" si="96"/>
        <v>-33.66589370515061</v>
      </c>
      <c r="AU142" s="130">
        <f t="shared" si="97"/>
        <v>28.4582100559135</v>
      </c>
      <c r="AV142" s="130">
        <f t="shared" si="98"/>
        <v>321.8585820161196</v>
      </c>
      <c r="AW142" s="130">
        <f t="shared" si="99"/>
        <v>30.363074995311923</v>
      </c>
      <c r="AX142" s="130">
        <f t="shared" si="100"/>
        <v>1560.462797438983</v>
      </c>
      <c r="AY142" s="130">
        <f t="shared" si="101"/>
        <v>621.2034213021923</v>
      </c>
      <c r="AZ142" s="130">
        <f t="shared" si="102"/>
        <v>2679.34511589634</v>
      </c>
      <c r="BA142" s="130">
        <f t="shared" si="103"/>
        <v>1047.3824286417034</v>
      </c>
      <c r="BB142" s="130">
        <f t="shared" si="104"/>
        <v>22.844528591920863</v>
      </c>
      <c r="BC142" s="130">
        <f t="shared" si="105"/>
        <v>1024.5379000497826</v>
      </c>
      <c r="BD142" s="129">
        <f t="shared" si="106"/>
        <v>6726.6419905415605</v>
      </c>
      <c r="BE142" s="129">
        <f t="shared" si="110"/>
        <v>22.725399392411155</v>
      </c>
      <c r="BF142" s="130">
        <f t="shared" si="107"/>
        <v>1.0904635371293556</v>
      </c>
      <c r="BG142" s="137">
        <f t="shared" si="108"/>
        <v>0.21251820220058418</v>
      </c>
      <c r="BH142" s="47"/>
      <c r="BI142" s="47"/>
      <c r="BJ142" s="47"/>
    </row>
    <row r="143" spans="1:62" ht="16.5" thickBot="1">
      <c r="A143" s="108">
        <f>IF(Data!A143&gt;0,Data!A143,"")</f>
        <v>123</v>
      </c>
      <c r="B143" s="109">
        <f>IF(A143&gt;0,IF(Data!$F$5="lb",Data!B143/2.204,Data!B143),"")</f>
        <v>36.19346687884599</v>
      </c>
      <c r="C143" s="109">
        <f>IF(A143&gt;0,Data!C143,"")</f>
        <v>0.06838422268629074</v>
      </c>
      <c r="D143" s="110">
        <f>IF(A143&gt;0,Data!D143,"")</f>
        <v>27.44156265258789</v>
      </c>
      <c r="E143" s="143">
        <f t="shared" si="58"/>
        <v>-0.2801773051674963</v>
      </c>
      <c r="F143" s="144">
        <f t="shared" si="59"/>
        <v>19.35944979825086</v>
      </c>
      <c r="G143" s="145">
        <f t="shared" si="60"/>
        <v>-8.116304965680175</v>
      </c>
      <c r="H143" s="111">
        <f>IF(A143&gt;0,IF(Data!$F$4="F",(Data!F143-32)/1.8,Data!F143),"")</f>
        <v>117.99836900499132</v>
      </c>
      <c r="I143" s="123">
        <f>IF(A143&gt;0,IF(Data!$F$4="F",(Data!G143-32)/1.8,Data!G143),"")</f>
        <v>26.632105509440102</v>
      </c>
      <c r="J143" s="136">
        <f t="shared" si="61"/>
        <v>0.9969707222863299</v>
      </c>
      <c r="K143" s="128">
        <f t="shared" si="62"/>
        <v>0.867775867265416</v>
      </c>
      <c r="L143" s="128">
        <f t="shared" si="63"/>
        <v>0.8651471331702482</v>
      </c>
      <c r="M143" s="155">
        <f t="shared" si="64"/>
        <v>4.473391864054232</v>
      </c>
      <c r="N143" s="130">
        <f t="shared" si="65"/>
        <v>36.19346687884599</v>
      </c>
      <c r="O143" s="130">
        <f t="shared" si="66"/>
        <v>69.08603278523618</v>
      </c>
      <c r="P143" s="130">
        <f t="shared" si="109"/>
        <v>33.34766416225845</v>
      </c>
      <c r="Q143" s="130">
        <f t="shared" si="67"/>
        <v>64.76150131234282</v>
      </c>
      <c r="R143" s="129">
        <f t="shared" si="91"/>
        <v>7775.931734302421</v>
      </c>
      <c r="S143" s="130">
        <f t="shared" si="68"/>
        <v>4.166666666666667</v>
      </c>
      <c r="T143" s="130">
        <f t="shared" si="69"/>
        <v>6.6</v>
      </c>
      <c r="U143" s="134">
        <f t="shared" si="92"/>
        <v>2.68125</v>
      </c>
      <c r="V143" s="130">
        <f t="shared" si="70"/>
        <v>19887</v>
      </c>
      <c r="W143" s="130">
        <f t="shared" si="71"/>
        <v>19.17</v>
      </c>
      <c r="X143" s="130">
        <f t="shared" si="72"/>
        <v>80.60635809040599</v>
      </c>
      <c r="Y143" s="130">
        <f t="shared" si="73"/>
        <v>21.380996840956495</v>
      </c>
      <c r="Z143" s="130">
        <f t="shared" si="74"/>
        <v>6.607848727860062</v>
      </c>
      <c r="AA143" s="130">
        <f t="shared" si="75"/>
        <v>21.76038848698605</v>
      </c>
      <c r="AB143" s="130">
        <f t="shared" si="76"/>
        <v>0.022756157476077732</v>
      </c>
      <c r="AC143" s="130">
        <f t="shared" si="77"/>
        <v>0.6574809484220762</v>
      </c>
      <c r="AD143" s="130">
        <f t="shared" si="78"/>
        <v>41.737426336757544</v>
      </c>
      <c r="AE143" s="130">
        <f t="shared" si="79"/>
        <v>-12.344547754819256</v>
      </c>
      <c r="AF143" s="130">
        <f t="shared" si="80"/>
        <v>0.10400943609150913</v>
      </c>
      <c r="AG143" s="130">
        <f t="shared" si="81"/>
        <v>0.034611128323476834</v>
      </c>
      <c r="AH143" s="130">
        <f t="shared" si="82"/>
        <v>122.59877382585384</v>
      </c>
      <c r="AI143" s="130">
        <f t="shared" si="83"/>
        <v>33.09660688908169</v>
      </c>
      <c r="AJ143" s="130">
        <f t="shared" si="84"/>
        <v>13.175906470369913</v>
      </c>
      <c r="AK143" s="130">
        <f t="shared" si="93"/>
        <v>391.1483690049913</v>
      </c>
      <c r="AL143" s="130">
        <f t="shared" si="85"/>
        <v>3614.3115926366636</v>
      </c>
      <c r="AM143" s="130">
        <f t="shared" si="86"/>
        <v>2731.0460800000155</v>
      </c>
      <c r="AN143" s="130">
        <f t="shared" si="87"/>
        <v>2658.448109282619</v>
      </c>
      <c r="AO143" s="130">
        <f t="shared" si="88"/>
        <v>2628.414112786481</v>
      </c>
      <c r="AP143" s="130">
        <f t="shared" si="89"/>
        <v>3455.2028551908957</v>
      </c>
      <c r="AQ143" s="130">
        <f t="shared" si="90"/>
        <v>3182.118099206354</v>
      </c>
      <c r="AR143" s="130">
        <f t="shared" si="94"/>
        <v>299.7821055094401</v>
      </c>
      <c r="AS143" s="130">
        <f t="shared" si="95"/>
        <v>150.8520638557616</v>
      </c>
      <c r="AT143" s="130">
        <f t="shared" si="96"/>
        <v>-33.71352875517212</v>
      </c>
      <c r="AU143" s="130">
        <f t="shared" si="97"/>
        <v>29.710446036569472</v>
      </c>
      <c r="AV143" s="130">
        <f t="shared" si="98"/>
        <v>322.24034733419205</v>
      </c>
      <c r="AW143" s="130">
        <f t="shared" si="99"/>
        <v>30.9288920133175</v>
      </c>
      <c r="AX143" s="130">
        <f t="shared" si="100"/>
        <v>1560.5420201100974</v>
      </c>
      <c r="AY143" s="130">
        <f t="shared" si="101"/>
        <v>621.258722048509</v>
      </c>
      <c r="AZ143" s="130">
        <f t="shared" si="102"/>
        <v>2681.8189626432745</v>
      </c>
      <c r="BA143" s="130">
        <f t="shared" si="103"/>
        <v>1048.6066866431256</v>
      </c>
      <c r="BB143" s="130">
        <f t="shared" si="104"/>
        <v>23.555389053755533</v>
      </c>
      <c r="BC143" s="130">
        <f t="shared" si="105"/>
        <v>1025.05129758937</v>
      </c>
      <c r="BD143" s="129">
        <f t="shared" si="106"/>
        <v>6727.325047659296</v>
      </c>
      <c r="BE143" s="129">
        <f t="shared" si="110"/>
        <v>23.672553611850446</v>
      </c>
      <c r="BF143" s="130">
        <f t="shared" si="107"/>
        <v>1.1387121080899196</v>
      </c>
      <c r="BG143" s="137">
        <f t="shared" si="108"/>
        <v>0.21653041370989037</v>
      </c>
      <c r="BH143" s="47"/>
      <c r="BI143" s="47"/>
      <c r="BJ143" s="47"/>
    </row>
    <row r="144" spans="1:62" ht="16.5" thickBot="1">
      <c r="A144" s="108">
        <f>IF(Data!A144&gt;0,Data!A144,"")</f>
        <v>124</v>
      </c>
      <c r="B144" s="109">
        <f>IF(A144&gt;0,IF(Data!$F$5="lb",Data!B144/2.204,Data!B144),"")</f>
        <v>35.75654903903414</v>
      </c>
      <c r="C144" s="109">
        <f>IF(A144&gt;0,Data!C144,"")</f>
        <v>0.07964951545000076</v>
      </c>
      <c r="D144" s="110">
        <f>IF(A144&gt;0,Data!D144,"")</f>
        <v>27.441471099853516</v>
      </c>
      <c r="E144" s="143">
        <f t="shared" si="58"/>
        <v>-0.2804695574987768</v>
      </c>
      <c r="F144" s="144">
        <f t="shared" si="59"/>
        <v>19.358807824744414</v>
      </c>
      <c r="G144" s="145">
        <f t="shared" si="60"/>
        <v>-8.122488032834102</v>
      </c>
      <c r="H144" s="111">
        <f>IF(A144&gt;0,IF(Data!$F$4="F",(Data!F144-32)/1.8,Data!F144),"")</f>
        <v>117.79808892144096</v>
      </c>
      <c r="I144" s="123">
        <f>IF(A144&gt;0,IF(Data!$F$4="F",(Data!G144-32)/1.8,Data!G144),"")</f>
        <v>26.797591315375435</v>
      </c>
      <c r="J144" s="136">
        <f t="shared" si="61"/>
        <v>0.996617325686738</v>
      </c>
      <c r="K144" s="128">
        <f t="shared" si="62"/>
        <v>0.8678693234241278</v>
      </c>
      <c r="L144" s="128">
        <f t="shared" si="63"/>
        <v>0.8649336041565131</v>
      </c>
      <c r="M144" s="155">
        <f t="shared" si="64"/>
        <v>4.471035261905307</v>
      </c>
      <c r="N144" s="130">
        <f t="shared" si="65"/>
        <v>35.75654903903414</v>
      </c>
      <c r="O144" s="130">
        <f t="shared" si="66"/>
        <v>69.45921791891519</v>
      </c>
      <c r="P144" s="130">
        <f t="shared" si="109"/>
        <v>32.95860212795592</v>
      </c>
      <c r="Q144" s="130">
        <f t="shared" si="67"/>
        <v>65.17262342028053</v>
      </c>
      <c r="R144" s="129">
        <f t="shared" si="91"/>
        <v>7603.766869368002</v>
      </c>
      <c r="S144" s="130">
        <f t="shared" si="68"/>
        <v>4.166666666666667</v>
      </c>
      <c r="T144" s="130">
        <f t="shared" si="69"/>
        <v>6.6</v>
      </c>
      <c r="U144" s="134">
        <f t="shared" si="92"/>
        <v>2.68125</v>
      </c>
      <c r="V144" s="130">
        <f t="shared" si="70"/>
        <v>19887</v>
      </c>
      <c r="W144" s="130">
        <f t="shared" si="71"/>
        <v>19.17</v>
      </c>
      <c r="X144" s="130">
        <f t="shared" si="72"/>
        <v>80.60136741753058</v>
      </c>
      <c r="Y144" s="130">
        <f t="shared" si="73"/>
        <v>21.3796730550479</v>
      </c>
      <c r="Z144" s="130">
        <f t="shared" si="74"/>
        <v>6.610922271023504</v>
      </c>
      <c r="AA144" s="130">
        <f t="shared" si="75"/>
        <v>21.767265799788724</v>
      </c>
      <c r="AB144" s="130">
        <f t="shared" si="76"/>
        <v>0.024388847294417815</v>
      </c>
      <c r="AC144" s="130">
        <f t="shared" si="77"/>
        <v>0.6577867659668386</v>
      </c>
      <c r="AD144" s="130">
        <f t="shared" si="78"/>
        <v>41.71788263255655</v>
      </c>
      <c r="AE144" s="130">
        <f t="shared" si="79"/>
        <v>-12.348208345139595</v>
      </c>
      <c r="AF144" s="130">
        <f t="shared" si="80"/>
        <v>0.12108713578773365</v>
      </c>
      <c r="AG144" s="130">
        <f t="shared" si="81"/>
        <v>0.03707713282825052</v>
      </c>
      <c r="AH144" s="130">
        <f t="shared" si="82"/>
        <v>122.5341882624528</v>
      </c>
      <c r="AI144" s="130">
        <f t="shared" si="83"/>
        <v>33.09167488007214</v>
      </c>
      <c r="AJ144" s="130">
        <f t="shared" si="84"/>
        <v>13.175906470369913</v>
      </c>
      <c r="AK144" s="130">
        <f t="shared" si="93"/>
        <v>390.94808892144096</v>
      </c>
      <c r="AL144" s="130">
        <f t="shared" si="85"/>
        <v>3599.7965343669325</v>
      </c>
      <c r="AM144" s="130">
        <f t="shared" si="86"/>
        <v>2720.0986550150888</v>
      </c>
      <c r="AN144" s="130">
        <f t="shared" si="87"/>
        <v>2647.7966979231605</v>
      </c>
      <c r="AO144" s="130">
        <f t="shared" si="88"/>
        <v>2617.8819864149386</v>
      </c>
      <c r="AP144" s="130">
        <f t="shared" si="89"/>
        <v>3441.2820107537173</v>
      </c>
      <c r="AQ144" s="130">
        <f t="shared" si="90"/>
        <v>3169.3701253196878</v>
      </c>
      <c r="AR144" s="130">
        <f t="shared" si="94"/>
        <v>299.9475913153754</v>
      </c>
      <c r="AS144" s="130">
        <f t="shared" si="95"/>
        <v>150.17588932180354</v>
      </c>
      <c r="AT144" s="130">
        <f t="shared" si="96"/>
        <v>-33.58834491146031</v>
      </c>
      <c r="AU144" s="130">
        <f t="shared" si="97"/>
        <v>34.587425936277846</v>
      </c>
      <c r="AV144" s="130">
        <f t="shared" si="98"/>
        <v>320.78004417225196</v>
      </c>
      <c r="AW144" s="130">
        <f t="shared" si="99"/>
        <v>33.132025120076364</v>
      </c>
      <c r="AX144" s="130">
        <f t="shared" si="100"/>
        <v>1559.8876185635845</v>
      </c>
      <c r="AY144" s="130">
        <f t="shared" si="101"/>
        <v>621.0907559368915</v>
      </c>
      <c r="AZ144" s="130">
        <f t="shared" si="102"/>
        <v>2686.0654141394257</v>
      </c>
      <c r="BA144" s="130">
        <f t="shared" si="103"/>
        <v>1027.0133858796503</v>
      </c>
      <c r="BB144" s="130">
        <f t="shared" si="104"/>
        <v>25.72099674475801</v>
      </c>
      <c r="BC144" s="130">
        <f t="shared" si="105"/>
        <v>1001.2923891348922</v>
      </c>
      <c r="BD144" s="129">
        <f t="shared" si="106"/>
        <v>6576.753483488352</v>
      </c>
      <c r="BE144" s="129">
        <f t="shared" si="110"/>
        <v>26.17268706709646</v>
      </c>
      <c r="BF144" s="130">
        <f t="shared" si="107"/>
        <v>1.2963299562258834</v>
      </c>
      <c r="BG144" s="137">
        <f t="shared" si="108"/>
        <v>0.22682224505303608</v>
      </c>
      <c r="BH144" s="47"/>
      <c r="BI144" s="47"/>
      <c r="BJ144" s="47"/>
    </row>
    <row r="145" spans="1:62" ht="16.5" thickBot="1">
      <c r="A145" s="108">
        <f>IF(Data!A145&gt;0,Data!A145,"")</f>
        <v>125</v>
      </c>
      <c r="B145" s="109">
        <f>IF(A145&gt;0,IF(Data!$F$5="lb",Data!B145/2.204,Data!B145),"")</f>
        <v>35.33512883956549</v>
      </c>
      <c r="C145" s="109">
        <f>IF(A145&gt;0,Data!C145,"")</f>
        <v>0.08191720396280289</v>
      </c>
      <c r="D145" s="110">
        <f>IF(A145&gt;0,Data!D145,"")</f>
        <v>27.44156265258789</v>
      </c>
      <c r="E145" s="143">
        <f t="shared" si="58"/>
        <v>-0.28053123378053313</v>
      </c>
      <c r="F145" s="144">
        <f t="shared" si="59"/>
        <v>19.358672277436884</v>
      </c>
      <c r="G145" s="145">
        <f t="shared" si="60"/>
        <v>-8.123848977132408</v>
      </c>
      <c r="H145" s="111">
        <f>IF(A145&gt;0,IF(Data!$F$4="F",(Data!F145-32)/1.8,Data!F145),"")</f>
        <v>117.45833502875433</v>
      </c>
      <c r="I145" s="123">
        <f>IF(A145&gt;0,IF(Data!$F$4="F",(Data!G145-32)/1.8,Data!G145),"")</f>
        <v>26.49161868625217</v>
      </c>
      <c r="J145" s="136">
        <f t="shared" si="61"/>
        <v>0.9965462283767091</v>
      </c>
      <c r="K145" s="128">
        <f t="shared" si="62"/>
        <v>0.8678784202883216</v>
      </c>
      <c r="L145" s="128">
        <f t="shared" si="63"/>
        <v>0.8648809664278633</v>
      </c>
      <c r="M145" s="155">
        <f t="shared" si="64"/>
        <v>4.470543618339857</v>
      </c>
      <c r="N145" s="130">
        <f t="shared" si="65"/>
        <v>35.33512883956549</v>
      </c>
      <c r="O145" s="130">
        <f t="shared" si="66"/>
        <v>69.81916603534245</v>
      </c>
      <c r="P145" s="130">
        <f t="shared" si="109"/>
        <v>32.582966935993255</v>
      </c>
      <c r="Q145" s="130">
        <f t="shared" si="67"/>
        <v>65.56955737507295</v>
      </c>
      <c r="R145" s="129">
        <f t="shared" si="91"/>
        <v>8513.091461523398</v>
      </c>
      <c r="S145" s="130">
        <f t="shared" si="68"/>
        <v>4.166666666666667</v>
      </c>
      <c r="T145" s="130">
        <f t="shared" si="69"/>
        <v>6.6</v>
      </c>
      <c r="U145" s="134">
        <f t="shared" si="92"/>
        <v>2.68125</v>
      </c>
      <c r="V145" s="130">
        <f t="shared" si="70"/>
        <v>19887</v>
      </c>
      <c r="W145" s="130">
        <f t="shared" si="71"/>
        <v>19.17</v>
      </c>
      <c r="X145" s="130">
        <f t="shared" si="72"/>
        <v>80.60036912058172</v>
      </c>
      <c r="Y145" s="130">
        <f t="shared" si="73"/>
        <v>21.37940825479621</v>
      </c>
      <c r="Z145" s="130">
        <f t="shared" si="74"/>
        <v>6.611567411294547</v>
      </c>
      <c r="AA145" s="130">
        <f t="shared" si="75"/>
        <v>21.76873707625216</v>
      </c>
      <c r="AB145" s="130">
        <f t="shared" si="76"/>
        <v>0.02471769050992023</v>
      </c>
      <c r="AC145" s="130">
        <f t="shared" si="77"/>
        <v>0.6578509574238074</v>
      </c>
      <c r="AD145" s="130">
        <f t="shared" si="78"/>
        <v>41.71395107495331</v>
      </c>
      <c r="AE145" s="130">
        <f t="shared" si="79"/>
        <v>-12.349072210742074</v>
      </c>
      <c r="AF145" s="130">
        <f t="shared" si="80"/>
        <v>0.12452243633359852</v>
      </c>
      <c r="AG145" s="130">
        <f t="shared" si="81"/>
        <v>0.03757338988563081</v>
      </c>
      <c r="AH145" s="130">
        <f t="shared" si="82"/>
        <v>122.52071416938979</v>
      </c>
      <c r="AI145" s="130">
        <f t="shared" si="83"/>
        <v>33.09068236595738</v>
      </c>
      <c r="AJ145" s="130">
        <f t="shared" si="84"/>
        <v>13.175906470369913</v>
      </c>
      <c r="AK145" s="130">
        <f t="shared" si="93"/>
        <v>390.6083350287543</v>
      </c>
      <c r="AL145" s="130">
        <f t="shared" si="85"/>
        <v>3597.6084910602776</v>
      </c>
      <c r="AM145" s="130">
        <f t="shared" si="86"/>
        <v>2718.8245699374743</v>
      </c>
      <c r="AN145" s="130">
        <f t="shared" si="87"/>
        <v>2646.6493101810943</v>
      </c>
      <c r="AO145" s="130">
        <f t="shared" si="88"/>
        <v>2616.7280817450187</v>
      </c>
      <c r="AP145" s="130">
        <f t="shared" si="89"/>
        <v>3438.359826422868</v>
      </c>
      <c r="AQ145" s="130">
        <f t="shared" si="90"/>
        <v>3168.02618177158</v>
      </c>
      <c r="AR145" s="130">
        <f t="shared" si="94"/>
        <v>299.6416186862522</v>
      </c>
      <c r="AS145" s="130">
        <f t="shared" si="95"/>
        <v>150.070464582925</v>
      </c>
      <c r="AT145" s="130">
        <f t="shared" si="96"/>
        <v>-33.57496094249763</v>
      </c>
      <c r="AU145" s="130">
        <f t="shared" si="97"/>
        <v>35.56854504557843</v>
      </c>
      <c r="AV145" s="130">
        <f t="shared" si="98"/>
        <v>320.6033933624971</v>
      </c>
      <c r="AW145" s="130">
        <f t="shared" si="99"/>
        <v>33.57536928135886</v>
      </c>
      <c r="AX145" s="130">
        <f t="shared" si="100"/>
        <v>1559.7963610568202</v>
      </c>
      <c r="AY145" s="130">
        <f t="shared" si="101"/>
        <v>621.0730482624002</v>
      </c>
      <c r="AZ145" s="130">
        <f t="shared" si="102"/>
        <v>2687.1122206490822</v>
      </c>
      <c r="BA145" s="130">
        <f t="shared" si="103"/>
        <v>1150.2806909922501</v>
      </c>
      <c r="BB145" s="130">
        <f t="shared" si="104"/>
        <v>29.402194305933293</v>
      </c>
      <c r="BC145" s="130">
        <f t="shared" si="105"/>
        <v>1120.8784966863168</v>
      </c>
      <c r="BD145" s="129">
        <f t="shared" si="106"/>
        <v>7362.810770531148</v>
      </c>
      <c r="BE145" s="129">
        <f t="shared" si="110"/>
        <v>25.800561861363988</v>
      </c>
      <c r="BF145" s="130">
        <f t="shared" si="107"/>
        <v>1.4925320514180198</v>
      </c>
      <c r="BG145" s="137">
        <f t="shared" si="108"/>
        <v>0.2573465718234853</v>
      </c>
      <c r="BH145" s="47"/>
      <c r="BI145" s="47"/>
      <c r="BJ145" s="47"/>
    </row>
    <row r="146" spans="1:62" ht="16.5" thickBot="1">
      <c r="A146" s="108">
        <f>IF(Data!A146&gt;0,Data!A146,"")</f>
        <v>126</v>
      </c>
      <c r="B146" s="109">
        <f>IF(A146&gt;0,IF(Data!$F$5="lb",Data!B146/2.204,Data!B146),"")</f>
        <v>34.796643819653184</v>
      </c>
      <c r="C146" s="109">
        <f>IF(A146&gt;0,Data!C146,"")</f>
        <v>0.08189282566308975</v>
      </c>
      <c r="D146" s="110">
        <f>IF(A146&gt;0,Data!D146,"")</f>
        <v>27.441776275634766</v>
      </c>
      <c r="E146" s="143">
        <f t="shared" si="58"/>
        <v>-0.2805361806386084</v>
      </c>
      <c r="F146" s="144">
        <f t="shared" si="59"/>
        <v>19.358661404612423</v>
      </c>
      <c r="G146" s="145">
        <f t="shared" si="60"/>
        <v>-8.124061283853887</v>
      </c>
      <c r="H146" s="111">
        <f>IF(A146&gt;0,IF(Data!$F$4="F",(Data!F146-32)/1.8,Data!F146),"")</f>
        <v>117.27548387315538</v>
      </c>
      <c r="I146" s="123">
        <f>IF(A146&gt;0,IF(Data!$F$4="F",(Data!G146-32)/1.8,Data!G146),"")</f>
        <v>26.403380499945747</v>
      </c>
      <c r="J146" s="136">
        <f t="shared" si="61"/>
        <v>0.9965469950133088</v>
      </c>
      <c r="K146" s="128">
        <f t="shared" si="62"/>
        <v>0.8679106094866348</v>
      </c>
      <c r="L146" s="128">
        <f t="shared" si="63"/>
        <v>0.8649137098240752</v>
      </c>
      <c r="M146" s="155">
        <f t="shared" si="64"/>
        <v>4.470514702023595</v>
      </c>
      <c r="N146" s="130">
        <f t="shared" si="65"/>
        <v>34.796643819653184</v>
      </c>
      <c r="O146" s="130">
        <f t="shared" si="66"/>
        <v>70.27910286059695</v>
      </c>
      <c r="P146" s="130">
        <f t="shared" si="109"/>
        <v>32.10245575479522</v>
      </c>
      <c r="Q146" s="130">
        <f t="shared" si="67"/>
        <v>66.07731385677624</v>
      </c>
      <c r="R146" s="129">
        <f t="shared" si="91"/>
        <v>8643.71299988249</v>
      </c>
      <c r="S146" s="130">
        <f t="shared" si="68"/>
        <v>4.166666666666667</v>
      </c>
      <c r="T146" s="130">
        <f t="shared" si="69"/>
        <v>6.6</v>
      </c>
      <c r="U146" s="134">
        <f t="shared" si="92"/>
        <v>2.68125</v>
      </c>
      <c r="V146" s="130">
        <f t="shared" si="70"/>
        <v>19887</v>
      </c>
      <c r="W146" s="130">
        <f t="shared" si="71"/>
        <v>19.17</v>
      </c>
      <c r="X146" s="130">
        <f t="shared" si="72"/>
        <v>80.60039218255604</v>
      </c>
      <c r="Y146" s="130">
        <f t="shared" si="73"/>
        <v>21.37941437203078</v>
      </c>
      <c r="Z146" s="130">
        <f t="shared" si="74"/>
        <v>6.611612068194522</v>
      </c>
      <c r="AA146" s="130">
        <f t="shared" si="75"/>
        <v>21.768890792683276</v>
      </c>
      <c r="AB146" s="130">
        <f t="shared" si="76"/>
        <v>0.024714516179322743</v>
      </c>
      <c r="AC146" s="130">
        <f t="shared" si="77"/>
        <v>0.657855400785355</v>
      </c>
      <c r="AD146" s="130">
        <f t="shared" si="78"/>
        <v>41.71399405230157</v>
      </c>
      <c r="AE146" s="130">
        <f t="shared" si="79"/>
        <v>-12.349311526750855</v>
      </c>
      <c r="AF146" s="130">
        <f t="shared" si="80"/>
        <v>0.12448453803879272</v>
      </c>
      <c r="AG146" s="130">
        <f t="shared" si="81"/>
        <v>0.03756831083216507</v>
      </c>
      <c r="AH146" s="130">
        <f t="shared" si="82"/>
        <v>122.51992168238553</v>
      </c>
      <c r="AI146" s="130">
        <f t="shared" si="83"/>
        <v>33.09069252406431</v>
      </c>
      <c r="AJ146" s="130">
        <f t="shared" si="84"/>
        <v>13.175906470369913</v>
      </c>
      <c r="AK146" s="130">
        <f t="shared" si="93"/>
        <v>390.4254838731554</v>
      </c>
      <c r="AL146" s="130">
        <f t="shared" si="85"/>
        <v>3593.5094786299255</v>
      </c>
      <c r="AM146" s="130">
        <f t="shared" si="86"/>
        <v>2715.885910640191</v>
      </c>
      <c r="AN146" s="130">
        <f t="shared" si="87"/>
        <v>2643.827597751319</v>
      </c>
      <c r="AO146" s="130">
        <f t="shared" si="88"/>
        <v>2613.9300995498716</v>
      </c>
      <c r="AP146" s="130">
        <f t="shared" si="89"/>
        <v>3434.093880688538</v>
      </c>
      <c r="AQ146" s="130">
        <f t="shared" si="90"/>
        <v>3164.6609622029264</v>
      </c>
      <c r="AR146" s="130">
        <f t="shared" si="94"/>
        <v>299.5533804999457</v>
      </c>
      <c r="AS146" s="130">
        <f t="shared" si="95"/>
        <v>149.89963301845802</v>
      </c>
      <c r="AT146" s="130">
        <f t="shared" si="96"/>
        <v>-33.539321181609154</v>
      </c>
      <c r="AU146" s="130">
        <f t="shared" si="97"/>
        <v>35.55736853037236</v>
      </c>
      <c r="AV146" s="130">
        <f t="shared" si="98"/>
        <v>320.25851108008044</v>
      </c>
      <c r="AW146" s="130">
        <f t="shared" si="99"/>
        <v>33.57067040345327</v>
      </c>
      <c r="AX146" s="130">
        <f t="shared" si="100"/>
        <v>1559.6854824337504</v>
      </c>
      <c r="AY146" s="130">
        <f t="shared" si="101"/>
        <v>621.0287084441114</v>
      </c>
      <c r="AZ146" s="130">
        <f t="shared" si="102"/>
        <v>2686.461052728617</v>
      </c>
      <c r="BA146" s="130">
        <f t="shared" si="103"/>
        <v>1167.6471224995396</v>
      </c>
      <c r="BB146" s="130">
        <f t="shared" si="104"/>
        <v>29.84670347239182</v>
      </c>
      <c r="BC146" s="130">
        <f t="shared" si="105"/>
        <v>1137.8004190271479</v>
      </c>
      <c r="BD146" s="129">
        <f t="shared" si="106"/>
        <v>7476.06587738295</v>
      </c>
      <c r="BE146" s="129">
        <f t="shared" si="110"/>
        <v>32.99665964870747</v>
      </c>
      <c r="BF146" s="130">
        <f t="shared" si="107"/>
        <v>1.5149716574871932</v>
      </c>
      <c r="BG146" s="137">
        <f t="shared" si="108"/>
        <v>0.2612598756764611</v>
      </c>
      <c r="BH146" s="47"/>
      <c r="BI146" s="47"/>
      <c r="BJ146" s="47"/>
    </row>
    <row r="147" spans="1:62" ht="16.5" thickBot="1">
      <c r="A147" s="108">
        <f>IF(Data!A147&gt;0,Data!A147,"")</f>
        <v>127</v>
      </c>
      <c r="B147" s="109">
        <f>IF(A147&gt;0,IF(Data!$F$5="lb",Data!B147/2.204,Data!B147),"")</f>
        <v>34.361449862997674</v>
      </c>
      <c r="C147" s="109">
        <f>IF(A147&gt;0,Data!C147,"")</f>
        <v>0.07092013210058212</v>
      </c>
      <c r="D147" s="110">
        <f>IF(A147&gt;0,Data!D147,"")</f>
        <v>27.441532135009766</v>
      </c>
      <c r="E147" s="143">
        <f t="shared" si="58"/>
        <v>-0.2802428550459881</v>
      </c>
      <c r="F147" s="144">
        <f t="shared" si="59"/>
        <v>19.359305854040787</v>
      </c>
      <c r="G147" s="145">
        <f t="shared" si="60"/>
        <v>-8.11768634701927</v>
      </c>
      <c r="H147" s="111">
        <f>IF(A147&gt;0,IF(Data!$F$4="F",(Data!F147-32)/1.8,Data!F147),"")</f>
        <v>116.94424099392361</v>
      </c>
      <c r="I147" s="123">
        <f>IF(A147&gt;0,IF(Data!$F$4="F",(Data!G147-32)/1.8,Data!G147),"")</f>
        <v>26.999210781521267</v>
      </c>
      <c r="J147" s="136">
        <f t="shared" si="61"/>
        <v>0.9968911411686883</v>
      </c>
      <c r="K147" s="128">
        <f t="shared" si="62"/>
        <v>0.8682340434396192</v>
      </c>
      <c r="L147" s="128">
        <f t="shared" si="63"/>
        <v>0.8655348263660265</v>
      </c>
      <c r="M147" s="155">
        <f t="shared" si="64"/>
        <v>4.472862763094026</v>
      </c>
      <c r="N147" s="130">
        <f t="shared" si="65"/>
        <v>34.361449862997674</v>
      </c>
      <c r="O147" s="130">
        <f t="shared" si="66"/>
        <v>70.65081557198617</v>
      </c>
      <c r="P147" s="130">
        <f t="shared" si="109"/>
        <v>31.713684188481555</v>
      </c>
      <c r="Q147" s="130">
        <f t="shared" si="67"/>
        <v>66.48812902699879</v>
      </c>
      <c r="R147" s="129">
        <f t="shared" si="91"/>
        <v>7735.303356130844</v>
      </c>
      <c r="S147" s="130">
        <f t="shared" si="68"/>
        <v>4.166666666666667</v>
      </c>
      <c r="T147" s="130">
        <f t="shared" si="69"/>
        <v>6.6</v>
      </c>
      <c r="U147" s="134">
        <f t="shared" si="92"/>
        <v>2.68125</v>
      </c>
      <c r="V147" s="130">
        <f t="shared" si="70"/>
        <v>19887</v>
      </c>
      <c r="W147" s="130">
        <f t="shared" si="71"/>
        <v>19.17</v>
      </c>
      <c r="X147" s="130">
        <f t="shared" si="72"/>
        <v>80.60523407990893</v>
      </c>
      <c r="Y147" s="130">
        <f t="shared" si="73"/>
        <v>21.380698694936054</v>
      </c>
      <c r="Z147" s="130">
        <f t="shared" si="74"/>
        <v>6.6085382255378</v>
      </c>
      <c r="AA147" s="130">
        <f t="shared" si="75"/>
        <v>21.76192879901376</v>
      </c>
      <c r="AB147" s="130">
        <f t="shared" si="76"/>
        <v>0.023123672630489978</v>
      </c>
      <c r="AC147" s="130">
        <f t="shared" si="77"/>
        <v>0.6575495534410111</v>
      </c>
      <c r="AD147" s="130">
        <f t="shared" si="78"/>
        <v>41.733025277571805</v>
      </c>
      <c r="AE147" s="130">
        <f t="shared" si="79"/>
        <v>-12.345360596077887</v>
      </c>
      <c r="AF147" s="130">
        <f t="shared" si="80"/>
        <v>0.10785519012133948</v>
      </c>
      <c r="AG147" s="130">
        <f t="shared" si="81"/>
        <v>0.03516643347939618</v>
      </c>
      <c r="AH147" s="130">
        <f t="shared" si="82"/>
        <v>122.58427316708693</v>
      </c>
      <c r="AI147" s="130">
        <f t="shared" si="83"/>
        <v>33.09549627876985</v>
      </c>
      <c r="AJ147" s="130">
        <f t="shared" si="84"/>
        <v>13.175906470369913</v>
      </c>
      <c r="AK147" s="130">
        <f t="shared" si="93"/>
        <v>390.09424099392356</v>
      </c>
      <c r="AL147" s="130">
        <f t="shared" si="85"/>
        <v>3557.1937302702663</v>
      </c>
      <c r="AM147" s="130">
        <f t="shared" si="86"/>
        <v>2688.2856557059085</v>
      </c>
      <c r="AN147" s="130">
        <f t="shared" si="87"/>
        <v>2616.9220213760673</v>
      </c>
      <c r="AO147" s="130">
        <f t="shared" si="88"/>
        <v>2587.3366756193764</v>
      </c>
      <c r="AP147" s="130">
        <f t="shared" si="89"/>
        <v>3399.7257605212317</v>
      </c>
      <c r="AQ147" s="130">
        <f t="shared" si="90"/>
        <v>3132.443056902316</v>
      </c>
      <c r="AR147" s="130">
        <f t="shared" si="94"/>
        <v>300.1492107815212</v>
      </c>
      <c r="AS147" s="130">
        <f t="shared" si="95"/>
        <v>148.45245586258898</v>
      </c>
      <c r="AT147" s="130">
        <f t="shared" si="96"/>
        <v>-33.187855804953124</v>
      </c>
      <c r="AU147" s="130">
        <f t="shared" si="97"/>
        <v>30.804512440156465</v>
      </c>
      <c r="AV147" s="130">
        <f t="shared" si="98"/>
        <v>317.1667858193482</v>
      </c>
      <c r="AW147" s="130">
        <f t="shared" si="99"/>
        <v>31.423167990090946</v>
      </c>
      <c r="AX147" s="130">
        <f t="shared" si="100"/>
        <v>1558.8456334144007</v>
      </c>
      <c r="AY147" s="130">
        <f t="shared" si="101"/>
        <v>620.6042083371993</v>
      </c>
      <c r="AZ147" s="130">
        <f t="shared" si="102"/>
        <v>2674.1089080588317</v>
      </c>
      <c r="BA147" s="130">
        <f t="shared" si="103"/>
        <v>1040.128908893592</v>
      </c>
      <c r="BB147" s="130">
        <f t="shared" si="104"/>
        <v>24.047897942678745</v>
      </c>
      <c r="BC147" s="130">
        <f t="shared" si="105"/>
        <v>1016.0810109509133</v>
      </c>
      <c r="BD147" s="129">
        <f t="shared" si="106"/>
        <v>6695.174447237252</v>
      </c>
      <c r="BE147" s="129">
        <f t="shared" si="110"/>
        <v>24.036142487287172</v>
      </c>
      <c r="BF147" s="130">
        <f t="shared" si="107"/>
        <v>1.1746464119982085</v>
      </c>
      <c r="BG147" s="137">
        <f t="shared" si="108"/>
        <v>0.2188549552301104</v>
      </c>
      <c r="BH147" s="47"/>
      <c r="BI147" s="47"/>
      <c r="BJ147" s="47"/>
    </row>
    <row r="148" spans="1:62" ht="16.5" thickBot="1">
      <c r="A148" s="108">
        <f>IF(Data!A148&gt;0,Data!A148,"")</f>
        <v>128</v>
      </c>
      <c r="B148" s="109">
        <f>IF(A148&gt;0,IF(Data!$F$5="lb",Data!B148/2.204,Data!B148),"")</f>
        <v>33.926255906342156</v>
      </c>
      <c r="C148" s="109">
        <f>IF(A148&gt;0,Data!C148,"")</f>
        <v>0.0683598443865776</v>
      </c>
      <c r="D148" s="110">
        <f>IF(A148&gt;0,Data!D148,"")</f>
        <v>27.44168472290039</v>
      </c>
      <c r="E148" s="143">
        <f t="shared" si="58"/>
        <v>-0.28017986135848083</v>
      </c>
      <c r="F148" s="144">
        <f t="shared" si="59"/>
        <v>19.35944418547628</v>
      </c>
      <c r="G148" s="145">
        <f t="shared" si="60"/>
        <v>-8.116420459617398</v>
      </c>
      <c r="H148" s="111">
        <f>IF(A148&gt;0,IF(Data!$F$4="F",(Data!F148-32)/1.8,Data!F148),"")</f>
        <v>116.37031555175781</v>
      </c>
      <c r="I148" s="123">
        <f>IF(A148&gt;0,IF(Data!$F$4="F",(Data!G148-32)/1.8,Data!G148),"")</f>
        <v>26.821717156304253</v>
      </c>
      <c r="J148" s="136">
        <f t="shared" si="61"/>
        <v>0.9969714868776368</v>
      </c>
      <c r="K148" s="128">
        <f t="shared" si="62"/>
        <v>0.8683719343608916</v>
      </c>
      <c r="L148" s="128">
        <f t="shared" si="63"/>
        <v>0.8657420585625876</v>
      </c>
      <c r="M148" s="155">
        <f t="shared" si="64"/>
        <v>4.473377520247514</v>
      </c>
      <c r="N148" s="130">
        <f t="shared" si="65"/>
        <v>33.926255906342156</v>
      </c>
      <c r="O148" s="130">
        <f t="shared" si="66"/>
        <v>71.0225282833754</v>
      </c>
      <c r="P148" s="130">
        <f t="shared" si="109"/>
        <v>31.32453013945547</v>
      </c>
      <c r="Q148" s="130">
        <f t="shared" si="67"/>
        <v>66.89934836695551</v>
      </c>
      <c r="R148" s="129">
        <f t="shared" si="91"/>
        <v>7773.554102611454</v>
      </c>
      <c r="S148" s="130">
        <f t="shared" si="68"/>
        <v>4.166666666666667</v>
      </c>
      <c r="T148" s="130">
        <f t="shared" si="69"/>
        <v>6.6</v>
      </c>
      <c r="U148" s="134">
        <f t="shared" si="92"/>
        <v>2.68125</v>
      </c>
      <c r="V148" s="130">
        <f t="shared" si="70"/>
        <v>19887</v>
      </c>
      <c r="W148" s="130">
        <f t="shared" si="71"/>
        <v>19.17</v>
      </c>
      <c r="X148" s="130">
        <f t="shared" si="72"/>
        <v>80.60637589233043</v>
      </c>
      <c r="Y148" s="130">
        <f t="shared" si="73"/>
        <v>21.38100156295237</v>
      </c>
      <c r="Z148" s="130">
        <f t="shared" si="74"/>
        <v>6.60787137516026</v>
      </c>
      <c r="AA148" s="130">
        <f t="shared" si="75"/>
        <v>21.760469879600624</v>
      </c>
      <c r="AB148" s="130">
        <f t="shared" si="76"/>
        <v>0.022752829214116588</v>
      </c>
      <c r="AC148" s="130">
        <f t="shared" si="77"/>
        <v>0.6574832018284459</v>
      </c>
      <c r="AD148" s="130">
        <f t="shared" si="78"/>
        <v>41.73746895218872</v>
      </c>
      <c r="AE148" s="130">
        <f t="shared" si="79"/>
        <v>-12.344681106750434</v>
      </c>
      <c r="AF148" s="130">
        <f t="shared" si="80"/>
        <v>0.10397200140850812</v>
      </c>
      <c r="AG148" s="130">
        <f t="shared" si="81"/>
        <v>0.03460594757530152</v>
      </c>
      <c r="AH148" s="130">
        <f t="shared" si="82"/>
        <v>122.59838071629196</v>
      </c>
      <c r="AI148" s="130">
        <f t="shared" si="83"/>
        <v>33.096617250578035</v>
      </c>
      <c r="AJ148" s="130">
        <f t="shared" si="84"/>
        <v>13.175906470369913</v>
      </c>
      <c r="AK148" s="130">
        <f t="shared" si="93"/>
        <v>389.5203155517578</v>
      </c>
      <c r="AL148" s="130">
        <f t="shared" si="85"/>
        <v>3540.5397510423654</v>
      </c>
      <c r="AM148" s="130">
        <f t="shared" si="86"/>
        <v>2676.134265329313</v>
      </c>
      <c r="AN148" s="130">
        <f t="shared" si="87"/>
        <v>2605.1995559920592</v>
      </c>
      <c r="AO148" s="130">
        <f t="shared" si="88"/>
        <v>2575.7244207922477</v>
      </c>
      <c r="AP148" s="130">
        <f t="shared" si="89"/>
        <v>3382.857424709919</v>
      </c>
      <c r="AQ148" s="130">
        <f t="shared" si="90"/>
        <v>3118.4450733076505</v>
      </c>
      <c r="AR148" s="130">
        <f t="shared" si="94"/>
        <v>299.97171715630424</v>
      </c>
      <c r="AS148" s="130">
        <f t="shared" si="95"/>
        <v>147.77316793312073</v>
      </c>
      <c r="AT148" s="130">
        <f t="shared" si="96"/>
        <v>-33.036024104338225</v>
      </c>
      <c r="AU148" s="130">
        <f t="shared" si="97"/>
        <v>29.69421640650299</v>
      </c>
      <c r="AV148" s="130">
        <f t="shared" si="98"/>
        <v>315.77964316053857</v>
      </c>
      <c r="AW148" s="130">
        <f t="shared" si="99"/>
        <v>30.921758856534332</v>
      </c>
      <c r="AX148" s="130">
        <f t="shared" si="100"/>
        <v>1558.4351468988796</v>
      </c>
      <c r="AY148" s="130">
        <f t="shared" si="101"/>
        <v>620.4197722145823</v>
      </c>
      <c r="AZ148" s="130">
        <f t="shared" si="102"/>
        <v>2669.98768136582</v>
      </c>
      <c r="BA148" s="130">
        <f t="shared" si="103"/>
        <v>1043.6613714689654</v>
      </c>
      <c r="BB148" s="130">
        <f t="shared" si="104"/>
        <v>23.54224298427236</v>
      </c>
      <c r="BC148" s="130">
        <f t="shared" si="105"/>
        <v>1020.1191284846931</v>
      </c>
      <c r="BD148" s="129">
        <f t="shared" si="106"/>
        <v>6729.892731142489</v>
      </c>
      <c r="BE148" s="129">
        <f t="shared" si="110"/>
        <v>23.437985811643003</v>
      </c>
      <c r="BF148" s="130">
        <f t="shared" si="107"/>
        <v>1.1379542106382714</v>
      </c>
      <c r="BG148" s="137">
        <f t="shared" si="108"/>
        <v>0.21643180429325048</v>
      </c>
      <c r="BH148" s="47"/>
      <c r="BI148" s="47"/>
      <c r="BJ148" s="47"/>
    </row>
    <row r="149" spans="1:62" ht="16.5" thickBot="1">
      <c r="A149" s="108">
        <f>IF(Data!A149&gt;0,Data!A149,"")</f>
        <v>129</v>
      </c>
      <c r="B149" s="109">
        <f>IF(A149&gt;0,IF(Data!$F$5="lb",Data!B149/2.204,Data!B149),"")</f>
        <v>33.48761764498674</v>
      </c>
      <c r="C149" s="109">
        <f>IF(A149&gt;0,Data!C149,"")</f>
        <v>0.06020347774028778</v>
      </c>
      <c r="D149" s="110">
        <f>IF(A149&gt;0,Data!D149,"")</f>
        <v>27.44150161743164</v>
      </c>
      <c r="E149" s="143">
        <f aca="true" t="shared" si="111" ref="E149:E212">IF(A149&gt;0,($H$10/(C149+D149))-1,"")</f>
        <v>-0.27996158689319695</v>
      </c>
      <c r="F149" s="144">
        <f aca="true" t="shared" si="112" ref="F149:F212">IF(A149&gt;0,($H$10+(E149)*20.94)/(E149+1),"")</f>
        <v>19.359923319601606</v>
      </c>
      <c r="G149" s="145">
        <f aca="true" t="shared" si="113" ref="G149:G212">IF(A149&gt;0,F149-D149-C149/2,"")</f>
        <v>-8.111680036700179</v>
      </c>
      <c r="H149" s="111">
        <f>IF(A149&gt;0,IF(Data!$F$4="F",(Data!F149-32)/1.8,Data!F149),"")</f>
        <v>115.95264010959201</v>
      </c>
      <c r="I149" s="123">
        <f>IF(A149&gt;0,IF(Data!$F$4="F",(Data!G149-32)/1.8,Data!G149),"")</f>
        <v>26.862403021918404</v>
      </c>
      <c r="J149" s="136">
        <f aca="true" t="shared" si="114" ref="J149:J212">IF(A149&gt;0,(V149-(AF149*282.993+AG149*890.156))/V149,"")</f>
        <v>0.99722756328364</v>
      </c>
      <c r="K149" s="128">
        <f aca="true" t="shared" si="115" ref="K149:K212">IF(A149&gt;0,((V149-SUM(AS149:AY149))/V149)/J149,"")</f>
        <v>0.8685403327048686</v>
      </c>
      <c r="L149" s="128">
        <f aca="true" t="shared" si="116" ref="L149:L212">IF(A149&gt;0,BD149/R149,"")</f>
        <v>0.8661323595968382</v>
      </c>
      <c r="M149" s="155">
        <f aca="true" t="shared" si="117" ref="M149:M212">IF(A149&gt;0,(32*Y149+28*X149)/(Z149*(12*S149+T149+16*U149)),"")</f>
        <v>4.475124941925094</v>
      </c>
      <c r="N149" s="130">
        <f aca="true" t="shared" si="118" ref="N149:N212">IF(A149&gt;0,$B149,"")</f>
        <v>33.48761764498674</v>
      </c>
      <c r="O149" s="130">
        <f aca="true" t="shared" si="119" ref="O149:O212">IF(A149&gt;0,100*(($B$20)-($B149))/($B$20),"")</f>
        <v>71.39718288267292</v>
      </c>
      <c r="P149" s="130">
        <f t="shared" si="109"/>
        <v>30.931911764022217</v>
      </c>
      <c r="Q149" s="130">
        <f aca="true" t="shared" si="120" ref="Q149:Q212">IF(A149&gt;0,100*($AI$4-$P149)/$AI$4,"")</f>
        <v>67.31422846290876</v>
      </c>
      <c r="R149" s="129">
        <f t="shared" si="91"/>
        <v>7728.969700289902</v>
      </c>
      <c r="S149" s="130">
        <f aca="true" t="shared" si="121" ref="S149:S212">IF(A149&gt;0,(+$AI$5/12),"")</f>
        <v>4.166666666666667</v>
      </c>
      <c r="T149" s="130">
        <f aca="true" t="shared" si="122" ref="T149:T212">IF(A149&gt;0,$AI$6,"")</f>
        <v>6.6</v>
      </c>
      <c r="U149" s="134">
        <f t="shared" si="92"/>
        <v>2.68125</v>
      </c>
      <c r="V149" s="130">
        <f aca="true" t="shared" si="123" ref="V149:V212">IF(A149&gt;0,$AA$13,"")</f>
        <v>19887</v>
      </c>
      <c r="W149" s="130">
        <f aca="true" t="shared" si="124" ref="W149:W212">IF(A149&gt;0,$AI$2,"")</f>
        <v>19.17</v>
      </c>
      <c r="X149" s="130">
        <f aca="true" t="shared" si="125" ref="X149:X212">IF(A149&gt;0,100-$C149-$D149-$G149,"")</f>
        <v>80.60997494152825</v>
      </c>
      <c r="Y149" s="130">
        <f aca="true" t="shared" si="126" ref="Y149:Y212">IF(A149&gt;0,X149/3.77,"")</f>
        <v>21.381956217912002</v>
      </c>
      <c r="Z149" s="130">
        <f aca="true" t="shared" si="127" ref="Z149:Z212">IF(A149&gt;0,(8*$D149+4*$G149+6*$C149-4*Y149)/(4*S149-T149+2*U149),"")</f>
        <v>6.605586094784518</v>
      </c>
      <c r="AA149" s="130">
        <f aca="true" t="shared" si="128" ref="AA149:AA212">IF(A149&gt;0,(T149*Z149-4*AB149)/2,"")</f>
        <v>21.75529351326178</v>
      </c>
      <c r="AB149" s="130">
        <f aca="true" t="shared" si="129" ref="AB149:AB212">IF(A149&gt;0,+Z149*S149-$D149-$C149,"")</f>
        <v>0.02157029976356384</v>
      </c>
      <c r="AC149" s="130">
        <f aca="true" t="shared" si="130" ref="AC149:AC212">IF(A149&gt;0,0.001*$Z149*(12*$S149+$T149+16*$U149),"")</f>
        <v>0.6572558164310596</v>
      </c>
      <c r="AD149" s="130">
        <f aca="true" t="shared" si="131" ref="AD149:AD212">IF(A149&gt;0,D149/(0.001*$Z149*(12*$S149+$T149+16*$U149)),"")</f>
        <v>41.75162993070297</v>
      </c>
      <c r="AE149" s="130">
        <f aca="true" t="shared" si="132" ref="AE149:AE212">IF(A149&gt;0,G149/(0.001*$Z149*(12*$S149+$T149+16*$U149)),"")</f>
        <v>-12.341739447430243</v>
      </c>
      <c r="AF149" s="130">
        <f aca="true" t="shared" si="133" ref="AF149:AF212">IF(A149&gt;0,C149/(0.001*$Z149*(12*$S149+$T149+16*$U149)),"")</f>
        <v>0.09159824262521776</v>
      </c>
      <c r="AG149" s="130">
        <f aca="true" t="shared" si="134" ref="AG149:AG212">IF(A149&gt;0,+AB149/AC149,"")</f>
        <v>0.032818727844345176</v>
      </c>
      <c r="AH149" s="130">
        <f aca="true" t="shared" si="135" ref="AH149:AH212">IF(A149&gt;0,+X149/AC149,"")</f>
        <v>122.64627094400699</v>
      </c>
      <c r="AI149" s="130">
        <f aca="true" t="shared" si="136" ref="AI149:AI212">IF(A149&gt;0,AA149/AC149,"")</f>
        <v>33.10019169003995</v>
      </c>
      <c r="AJ149" s="130">
        <f aca="true" t="shared" si="137" ref="AJ149:AJ212">IF(A149&gt;0,W149/(100-W149)*55.556,"")</f>
        <v>13.175906470369913</v>
      </c>
      <c r="AK149" s="130">
        <f t="shared" si="93"/>
        <v>389.102640109592</v>
      </c>
      <c r="AL149" s="130">
        <f aca="true" t="shared" si="138" ref="AL149:AL212">IF(A149&gt;0,($AK149-$AR149)*(0.029*(($AK149+$AR149)/2)+29.54),"")</f>
        <v>3521.9302308822753</v>
      </c>
      <c r="AM149" s="130">
        <f aca="true" t="shared" si="139" ref="AM149:AM212">IF(A149&gt;0,($AK149-$AR149)*(0.009*(($AK149+$AR149)/2)+26.782),"")</f>
        <v>2662.285131261785</v>
      </c>
      <c r="AN149" s="130">
        <f aca="true" t="shared" si="140" ref="AN149:AN212">IF(A149&gt;0,($AK149-$AR149)*(0.0056*(($AK149+$AR149)/2)+27.162),"")</f>
        <v>2591.770602980544</v>
      </c>
      <c r="AO149" s="130">
        <f aca="true" t="shared" si="141" ref="AO149:AO212">IF(A149&gt;0,($AK149-$AR149)*(0.0062*(($AK149+$AR149)/2)+26.626),"")</f>
        <v>2562.4362626735315</v>
      </c>
      <c r="AP149" s="130">
        <f aca="true" t="shared" si="142" ref="AP149:AP212">IF(A149&gt;0,($AK149-$AR149)*(0.056*(($AK149+$AR149)/2)+18.471),"")</f>
        <v>3364.601601297944</v>
      </c>
      <c r="AQ149" s="130">
        <f aca="true" t="shared" si="143" ref="AQ149:AQ212">IF(A149&gt;0,($AK149-$AR149)*(0.0057*(($AK149+$AR149)/2)+32.859),"")</f>
        <v>3102.3873547976846</v>
      </c>
      <c r="AR149" s="130">
        <f t="shared" si="94"/>
        <v>300.0124030219184</v>
      </c>
      <c r="AS149" s="130">
        <f t="shared" si="95"/>
        <v>147.04632764155204</v>
      </c>
      <c r="AT149" s="130">
        <f t="shared" si="96"/>
        <v>-32.85722942480057</v>
      </c>
      <c r="AU149" s="130">
        <f t="shared" si="97"/>
        <v>26.15906310775897</v>
      </c>
      <c r="AV149" s="130">
        <f t="shared" si="98"/>
        <v>314.2732521486066</v>
      </c>
      <c r="AW149" s="130">
        <f t="shared" si="99"/>
        <v>29.32420944726857</v>
      </c>
      <c r="AX149" s="130">
        <f t="shared" si="100"/>
        <v>1558.071944559926</v>
      </c>
      <c r="AY149" s="130">
        <f t="shared" si="101"/>
        <v>620.2081972173673</v>
      </c>
      <c r="AZ149" s="130">
        <f t="shared" si="102"/>
        <v>2662.2257646976786</v>
      </c>
      <c r="BA149" s="130">
        <f t="shared" si="103"/>
        <v>1034.658936525342</v>
      </c>
      <c r="BB149" s="130">
        <f t="shared" si="104"/>
        <v>21.428015069595148</v>
      </c>
      <c r="BC149" s="130">
        <f t="shared" si="105"/>
        <v>1013.2309214557467</v>
      </c>
      <c r="BD149" s="129">
        <f t="shared" si="106"/>
        <v>6694.31076376456</v>
      </c>
      <c r="BE149" s="129">
        <f t="shared" si="110"/>
        <v>21.647190406623103</v>
      </c>
      <c r="BF149" s="130">
        <f t="shared" si="107"/>
        <v>0.9967758420980093</v>
      </c>
      <c r="BG149" s="137">
        <f t="shared" si="108"/>
        <v>0.20407699752481875</v>
      </c>
      <c r="BH149" s="47"/>
      <c r="BI149" s="47"/>
      <c r="BJ149" s="47"/>
    </row>
    <row r="150" spans="1:62" ht="16.5" thickBot="1">
      <c r="A150" s="108">
        <f>IF(Data!A150&gt;0,Data!A150,"")</f>
        <v>130</v>
      </c>
      <c r="B150" s="109">
        <f>IF(A150&gt;0,IF(Data!$F$5="lb",Data!B150/2.204,Data!B150),"")</f>
        <v>33.05827381390192</v>
      </c>
      <c r="C150" s="109">
        <f>IF(A150&gt;0,Data!C150,"")</f>
        <v>0.06286130845546722</v>
      </c>
      <c r="D150" s="110">
        <f>IF(A150&gt;0,Data!D150,"")</f>
        <v>27.441471099853516</v>
      </c>
      <c r="E150" s="143">
        <f t="shared" si="111"/>
        <v>-0.2800303675621423</v>
      </c>
      <c r="F150" s="144">
        <f t="shared" si="112"/>
        <v>19.35977237055297</v>
      </c>
      <c r="G150" s="145">
        <f t="shared" si="113"/>
        <v>-8.113129383528278</v>
      </c>
      <c r="H150" s="111">
        <f>IF(A150&gt;0,IF(Data!$F$4="F",(Data!F150-32)/1.8,Data!F150),"")</f>
        <v>115.37801106770833</v>
      </c>
      <c r="I150" s="123">
        <f>IF(A150&gt;0,IF(Data!$F$4="F",(Data!G150-32)/1.8,Data!G150),"")</f>
        <v>26.92134009467231</v>
      </c>
      <c r="J150" s="136">
        <f t="shared" si="114"/>
        <v>0.997144099811013</v>
      </c>
      <c r="K150" s="128">
        <f t="shared" si="115"/>
        <v>0.8687420622142162</v>
      </c>
      <c r="L150" s="128">
        <f t="shared" si="116"/>
        <v>0.8662610215945579</v>
      </c>
      <c r="M150" s="155">
        <f t="shared" si="117"/>
        <v>4.474569791931114</v>
      </c>
      <c r="N150" s="130">
        <f t="shared" si="118"/>
        <v>33.05827381390192</v>
      </c>
      <c r="O150" s="130">
        <f t="shared" si="119"/>
        <v>71.76389881962493</v>
      </c>
      <c r="P150" s="130">
        <f t="shared" si="109"/>
        <v>30.547241488548856</v>
      </c>
      <c r="Q150" s="130">
        <f t="shared" si="120"/>
        <v>67.72070979639868</v>
      </c>
      <c r="R150" s="129">
        <f aca="true" t="shared" si="144" ref="R150:R213">IF(A150&gt;0,IF(B151&gt;0,(((P149+P150)/2)-((P151+P150)/2))*V150,((P149+P150)/2)*V150),"")</f>
        <v>8000.671866860358</v>
      </c>
      <c r="S150" s="130">
        <f t="shared" si="121"/>
        <v>4.166666666666667</v>
      </c>
      <c r="T150" s="130">
        <f t="shared" si="122"/>
        <v>6.6</v>
      </c>
      <c r="U150" s="134">
        <f aca="true" t="shared" si="145" ref="U150:U213">IF(A150&gt;0,$AI$7/16,"")</f>
        <v>2.68125</v>
      </c>
      <c r="V150" s="130">
        <f t="shared" si="123"/>
        <v>19887</v>
      </c>
      <c r="W150" s="130">
        <f t="shared" si="124"/>
        <v>19.17</v>
      </c>
      <c r="X150" s="130">
        <f t="shared" si="125"/>
        <v>80.60879697521929</v>
      </c>
      <c r="Y150" s="130">
        <f t="shared" si="126"/>
        <v>21.38164376000512</v>
      </c>
      <c r="Z150" s="130">
        <f t="shared" si="127"/>
        <v>6.606309094815708</v>
      </c>
      <c r="AA150" s="130">
        <f t="shared" si="128"/>
        <v>21.756909039378897</v>
      </c>
      <c r="AB150" s="130">
        <f t="shared" si="129"/>
        <v>0.02195548675646819</v>
      </c>
      <c r="AC150" s="130">
        <f t="shared" si="130"/>
        <v>0.657327754934163</v>
      </c>
      <c r="AD150" s="130">
        <f t="shared" si="131"/>
        <v>41.74701417043011</v>
      </c>
      <c r="AE150" s="130">
        <f t="shared" si="132"/>
        <v>-12.342593664466333</v>
      </c>
      <c r="AF150" s="130">
        <f t="shared" si="133"/>
        <v>0.09563160536521591</v>
      </c>
      <c r="AG150" s="130">
        <f t="shared" si="134"/>
        <v>0.0334011253771982</v>
      </c>
      <c r="AH150" s="130">
        <f t="shared" si="135"/>
        <v>122.63105637961836</v>
      </c>
      <c r="AI150" s="130">
        <f t="shared" si="136"/>
        <v>33.099026894974244</v>
      </c>
      <c r="AJ150" s="130">
        <f t="shared" si="137"/>
        <v>13.175906470369913</v>
      </c>
      <c r="AK150" s="130">
        <f aca="true" t="shared" si="146" ref="AK150:AK213">IF(A150&gt;0,H150+273.15,"")</f>
        <v>388.5280110677083</v>
      </c>
      <c r="AL150" s="130">
        <f t="shared" si="138"/>
        <v>3496.2225509947275</v>
      </c>
      <c r="AM150" s="130">
        <f t="shared" si="139"/>
        <v>2643.1469900709258</v>
      </c>
      <c r="AN150" s="130">
        <f t="shared" si="140"/>
        <v>2573.211474436051</v>
      </c>
      <c r="AO150" s="130">
        <f t="shared" si="141"/>
        <v>2544.072060665909</v>
      </c>
      <c r="AP150" s="130">
        <f t="shared" si="142"/>
        <v>3339.396944207418</v>
      </c>
      <c r="AQ150" s="130">
        <f t="shared" si="143"/>
        <v>3080.1946892813385</v>
      </c>
      <c r="AR150" s="130">
        <f aca="true" t="shared" si="147" ref="AR150:AR213">IF(A150&gt;0,I150+273.15,"")</f>
        <v>300.0713400946723</v>
      </c>
      <c r="AS150" s="130">
        <f aca="true" t="shared" si="148" ref="AS150:AS213">IF(A150&gt;0,0.001*AD150*(AL150),"")</f>
        <v>145.95685237935422</v>
      </c>
      <c r="AT150" s="130">
        <f aca="true" t="shared" si="149" ref="AT150:AT213">IF(A150&gt;0,0.001*AE150*(AM150),"")</f>
        <v>-32.623289293902666</v>
      </c>
      <c r="AU150" s="130">
        <f aca="true" t="shared" si="150" ref="AU150:AU213">IF(A150&gt;0,0.001*AF150*(AN150+282993),"")</f>
        <v>27.30915524136306</v>
      </c>
      <c r="AV150" s="130">
        <f aca="true" t="shared" si="151" ref="AV150:AV213">IF(A150&gt;0,0.001*AH150*(AO150),"")</f>
        <v>311.9822443053329</v>
      </c>
      <c r="AW150" s="130">
        <f aca="true" t="shared" si="152" ref="AW150:AW213">IF(A150&gt;0,0.001*AG150*(AP150+890156),"")</f>
        <v>29.843751777282943</v>
      </c>
      <c r="AX150" s="130">
        <f aca="true" t="shared" si="153" ref="AX150:AX213">IF(A150&gt;0,0.001*AI150*(AQ150+43969),"")</f>
        <v>1557.2825604074023</v>
      </c>
      <c r="AY150" s="130">
        <f aca="true" t="shared" si="154" ref="AY150:AY213">IF(A150&gt;0,0.001*AJ150*(AQ150+43969),"")</f>
        <v>619.9157887321958</v>
      </c>
      <c r="AZ150" s="130">
        <f aca="true" t="shared" si="155" ref="AZ150:AZ213">IF(A150&gt;0,SUM(AS150:AY150),"")</f>
        <v>2659.6670635490286</v>
      </c>
      <c r="BA150" s="130">
        <f aca="true" t="shared" si="156" ref="BA150:BA213">IF(A150&gt;0,IF(B151&gt;0,(((P149+P150)/2)-((P150+P151)/2))*AZ150,((P149+P150)/2)*AZ150),"")</f>
        <v>1070.0016820310661</v>
      </c>
      <c r="BB150" s="130">
        <f aca="true" t="shared" si="157" ref="BB150:BB213">IF(A150&gt;0,55.6344*BG150+10.1069*BF150,"")</f>
        <v>22.849052741268224</v>
      </c>
      <c r="BC150" s="130">
        <f aca="true" t="shared" si="158" ref="BC150:BC213">IF(A150&gt;0,BA150-BB150,"")</f>
        <v>1047.152629289798</v>
      </c>
      <c r="BD150" s="129">
        <f aca="true" t="shared" si="159" ref="BD150:BD213">IF(A150&gt;0,+R150-BA150,"")</f>
        <v>6930.670184829292</v>
      </c>
      <c r="BE150" s="129">
        <f t="shared" si="110"/>
        <v>21.847458718337126</v>
      </c>
      <c r="BF150" s="130">
        <f aca="true" t="shared" si="160" ref="BF150:BF213">IF(A150&gt;0,IF(B151&gt;0,(((P149+P150)/2)-((P150+P151)/2))*28*AF150,((P149+P150)/2)*28*AF150),"")</f>
        <v>1.0772503972237593</v>
      </c>
      <c r="BG150" s="137">
        <f aca="true" t="shared" si="161" ref="BG150:BG213">IF(A150&gt;0,IF(B151&gt;0,(((P149+P150)/2)-((P150+P151)/2))*16*AG150,((P149+P150)/2)*16*AG150),"")</f>
        <v>0.21499990476337322</v>
      </c>
      <c r="BH150" s="47"/>
      <c r="BI150" s="47"/>
      <c r="BJ150" s="47"/>
    </row>
    <row r="151" spans="1:62" ht="16.5" thickBot="1">
      <c r="A151" s="108">
        <f>IF(Data!A151&gt;0,Data!A151,"")</f>
        <v>131</v>
      </c>
      <c r="B151" s="109">
        <f>IF(A151&gt;0,IF(Data!$F$5="lb",Data!B151/2.204,Data!B151),"")</f>
        <v>32.590024916965596</v>
      </c>
      <c r="C151" s="109">
        <f>IF(A151&gt;0,Data!C151,"")</f>
        <v>0.06288568675518036</v>
      </c>
      <c r="D151" s="110">
        <f>IF(A151&gt;0,Data!D151,"")</f>
        <v>27.44159507751465</v>
      </c>
      <c r="E151" s="143">
        <f t="shared" si="111"/>
        <v>-0.2800342509943552</v>
      </c>
      <c r="F151" s="144">
        <f t="shared" si="112"/>
        <v>19.359763846943498</v>
      </c>
      <c r="G151" s="145">
        <f t="shared" si="113"/>
        <v>-8.113274073948741</v>
      </c>
      <c r="H151" s="111">
        <f>IF(A151&gt;0,IF(Data!$F$4="F",(Data!F151-32)/1.8,Data!F151),"")</f>
        <v>115.19690619574652</v>
      </c>
      <c r="I151" s="123">
        <f>IF(A151&gt;0,IF(Data!$F$4="F",(Data!G151-32)/1.8,Data!G151),"")</f>
        <v>26.944508022732204</v>
      </c>
      <c r="J151" s="136">
        <f t="shared" si="114"/>
        <v>0.9971433330380849</v>
      </c>
      <c r="K151" s="128">
        <f t="shared" si="115"/>
        <v>0.8688090140240633</v>
      </c>
      <c r="L151" s="128">
        <f t="shared" si="116"/>
        <v>0.8663271160174866</v>
      </c>
      <c r="M151" s="155">
        <f t="shared" si="117"/>
        <v>4.474544864131308</v>
      </c>
      <c r="N151" s="130">
        <f t="shared" si="118"/>
        <v>32.590024916965596</v>
      </c>
      <c r="O151" s="130">
        <f t="shared" si="119"/>
        <v>72.1638447849201</v>
      </c>
      <c r="P151" s="130">
        <f t="shared" si="109"/>
        <v>30.127298512464883</v>
      </c>
      <c r="Q151" s="130">
        <f t="shared" si="120"/>
        <v>68.16446381585932</v>
      </c>
      <c r="R151" s="129">
        <f t="shared" si="144"/>
        <v>8856.914867028072</v>
      </c>
      <c r="S151" s="130">
        <f t="shared" si="121"/>
        <v>4.166666666666667</v>
      </c>
      <c r="T151" s="130">
        <f t="shared" si="122"/>
        <v>6.6</v>
      </c>
      <c r="U151" s="134">
        <f t="shared" si="145"/>
        <v>2.68125</v>
      </c>
      <c r="V151" s="130">
        <f t="shared" si="123"/>
        <v>19887</v>
      </c>
      <c r="W151" s="130">
        <f t="shared" si="124"/>
        <v>19.17</v>
      </c>
      <c r="X151" s="130">
        <f t="shared" si="125"/>
        <v>80.60879330967892</v>
      </c>
      <c r="Y151" s="130">
        <f t="shared" si="126"/>
        <v>21.38164278771324</v>
      </c>
      <c r="Z151" s="130">
        <f t="shared" si="127"/>
        <v>6.606345598314901</v>
      </c>
      <c r="AA151" s="130">
        <f t="shared" si="128"/>
        <v>21.75702201702132</v>
      </c>
      <c r="AB151" s="130">
        <f t="shared" si="129"/>
        <v>0.021959228708926304</v>
      </c>
      <c r="AC151" s="130">
        <f t="shared" si="130"/>
        <v>0.6573313870323326</v>
      </c>
      <c r="AD151" s="130">
        <f t="shared" si="131"/>
        <v>41.74697210398818</v>
      </c>
      <c r="AE151" s="130">
        <f t="shared" si="132"/>
        <v>-12.342745583134109</v>
      </c>
      <c r="AF151" s="130">
        <f t="shared" si="133"/>
        <v>0.0956681637234632</v>
      </c>
      <c r="AG151" s="130">
        <f t="shared" si="134"/>
        <v>0.03340663346088809</v>
      </c>
      <c r="AH151" s="130">
        <f t="shared" si="135"/>
        <v>122.63037320278448</v>
      </c>
      <c r="AI151" s="130">
        <f t="shared" si="136"/>
        <v>33.09901587880687</v>
      </c>
      <c r="AJ151" s="130">
        <f t="shared" si="137"/>
        <v>13.175906470369913</v>
      </c>
      <c r="AK151" s="130">
        <f t="shared" si="146"/>
        <v>388.3469061957465</v>
      </c>
      <c r="AL151" s="130">
        <f t="shared" si="138"/>
        <v>3487.9466262236765</v>
      </c>
      <c r="AM151" s="130">
        <f t="shared" si="139"/>
        <v>2636.9804539984802</v>
      </c>
      <c r="AN151" s="130">
        <f t="shared" si="140"/>
        <v>2567.230135433342</v>
      </c>
      <c r="AO151" s="130">
        <f t="shared" si="141"/>
        <v>2538.153831754527</v>
      </c>
      <c r="AP151" s="130">
        <f t="shared" si="142"/>
        <v>3331.295009233012</v>
      </c>
      <c r="AQ151" s="130">
        <f t="shared" si="143"/>
        <v>3073.041878115325</v>
      </c>
      <c r="AR151" s="130">
        <f t="shared" si="147"/>
        <v>300.09450802273216</v>
      </c>
      <c r="AS151" s="130">
        <f t="shared" si="148"/>
        <v>145.6112105051595</v>
      </c>
      <c r="AT151" s="130">
        <f t="shared" si="149"/>
        <v>-32.54757885140072</v>
      </c>
      <c r="AU151" s="130">
        <f t="shared" si="150"/>
        <v>27.319022849506467</v>
      </c>
      <c r="AV151" s="130">
        <f t="shared" si="151"/>
        <v>311.2547516341351</v>
      </c>
      <c r="AW151" s="130">
        <f t="shared" si="152"/>
        <v>29.848402566333835</v>
      </c>
      <c r="AX151" s="130">
        <f t="shared" si="153"/>
        <v>1557.045291095237</v>
      </c>
      <c r="AY151" s="130">
        <f t="shared" si="154"/>
        <v>619.8215439612723</v>
      </c>
      <c r="AZ151" s="130">
        <f t="shared" si="155"/>
        <v>2658.352643760243</v>
      </c>
      <c r="BA151" s="130">
        <f t="shared" si="156"/>
        <v>1183.9293534632411</v>
      </c>
      <c r="BB151" s="130">
        <f t="shared" si="157"/>
        <v>25.301181289467102</v>
      </c>
      <c r="BC151" s="130">
        <f t="shared" si="158"/>
        <v>1158.628172173774</v>
      </c>
      <c r="BD151" s="129">
        <f t="shared" si="159"/>
        <v>7672.98551356483</v>
      </c>
      <c r="BE151" s="129">
        <f t="shared" si="110"/>
        <v>23.857185506846854</v>
      </c>
      <c r="BF151" s="130">
        <f t="shared" si="160"/>
        <v>1.1929951166260007</v>
      </c>
      <c r="BG151" s="137">
        <f t="shared" si="161"/>
        <v>0.23804874223932995</v>
      </c>
      <c r="BH151" s="47"/>
      <c r="BI151" s="47"/>
      <c r="BJ151" s="47"/>
    </row>
    <row r="152" spans="1:62" ht="16.5" thickBot="1">
      <c r="A152" s="108">
        <f>IF(Data!A152&gt;0,Data!A152,"")</f>
        <v>132</v>
      </c>
      <c r="B152" s="109">
        <f>IF(A152&gt;0,IF(Data!$F$5="lb",Data!B152/2.204,Data!B152),"")</f>
        <v>32.06565981551653</v>
      </c>
      <c r="C152" s="109">
        <f>IF(A152&gt;0,Data!C152,"")</f>
        <v>0.057813871651887894</v>
      </c>
      <c r="D152" s="110">
        <f>IF(A152&gt;0,Data!D152,"")</f>
        <v>27.441471099853516</v>
      </c>
      <c r="E152" s="143">
        <f t="shared" si="111"/>
        <v>-0.27989821862721576</v>
      </c>
      <c r="F152" s="144">
        <f t="shared" si="112"/>
        <v>19.360062364833745</v>
      </c>
      <c r="G152" s="145">
        <f t="shared" si="113"/>
        <v>-8.110315670845715</v>
      </c>
      <c r="H152" s="111">
        <f>IF(A152&gt;0,IF(Data!$F$4="F",(Data!F152-32)/1.8,Data!F152),"")</f>
        <v>114.89514668782552</v>
      </c>
      <c r="I152" s="123">
        <f>IF(A152&gt;0,IF(Data!$F$4="F",(Data!G152-32)/1.8,Data!G152),"")</f>
        <v>27.05378214518229</v>
      </c>
      <c r="J152" s="136">
        <f t="shared" si="114"/>
        <v>0.997302620283421</v>
      </c>
      <c r="K152" s="128">
        <f t="shared" si="115"/>
        <v>0.868954314468745</v>
      </c>
      <c r="L152" s="128">
        <f t="shared" si="116"/>
        <v>0.8666104147262632</v>
      </c>
      <c r="M152" s="155">
        <f t="shared" si="117"/>
        <v>4.475633426881298</v>
      </c>
      <c r="N152" s="130">
        <f t="shared" si="118"/>
        <v>32.06565981551653</v>
      </c>
      <c r="O152" s="130">
        <f t="shared" si="119"/>
        <v>72.61172134808616</v>
      </c>
      <c r="P152" s="130">
        <f t="shared" si="109"/>
        <v>29.65651741080681</v>
      </c>
      <c r="Q152" s="130">
        <f t="shared" si="120"/>
        <v>68.66193851610316</v>
      </c>
      <c r="R152" s="129">
        <f t="shared" si="144"/>
        <v>8551.927664968198</v>
      </c>
      <c r="S152" s="130">
        <f t="shared" si="121"/>
        <v>4.166666666666667</v>
      </c>
      <c r="T152" s="130">
        <f t="shared" si="122"/>
        <v>6.6</v>
      </c>
      <c r="U152" s="134">
        <f t="shared" si="145"/>
        <v>2.68125</v>
      </c>
      <c r="V152" s="130">
        <f t="shared" si="123"/>
        <v>19887</v>
      </c>
      <c r="W152" s="130">
        <f t="shared" si="124"/>
        <v>19.17</v>
      </c>
      <c r="X152" s="130">
        <f t="shared" si="125"/>
        <v>80.61103069934032</v>
      </c>
      <c r="Y152" s="130">
        <f t="shared" si="126"/>
        <v>21.382236259771968</v>
      </c>
      <c r="Z152" s="130">
        <f t="shared" si="127"/>
        <v>6.604922126250201</v>
      </c>
      <c r="AA152" s="130">
        <f t="shared" si="128"/>
        <v>21.75379524088479</v>
      </c>
      <c r="AB152" s="130">
        <f t="shared" si="129"/>
        <v>0.021223887870434055</v>
      </c>
      <c r="AC152" s="130">
        <f t="shared" si="130"/>
        <v>0.657189751561895</v>
      </c>
      <c r="AD152" s="130">
        <f t="shared" si="131"/>
        <v>41.75578063205546</v>
      </c>
      <c r="AE152" s="130">
        <f t="shared" si="132"/>
        <v>-12.3409040563559</v>
      </c>
      <c r="AF152" s="130">
        <f t="shared" si="133"/>
        <v>0.08797135304451398</v>
      </c>
      <c r="AG152" s="130">
        <f t="shared" si="134"/>
        <v>0.03229491607255407</v>
      </c>
      <c r="AH152" s="130">
        <f t="shared" si="135"/>
        <v>122.66020659597622</v>
      </c>
      <c r="AI152" s="130">
        <f t="shared" si="136"/>
        <v>33.101239313583534</v>
      </c>
      <c r="AJ152" s="130">
        <f t="shared" si="137"/>
        <v>13.175906470369913</v>
      </c>
      <c r="AK152" s="130">
        <f t="shared" si="146"/>
        <v>388.0451466878255</v>
      </c>
      <c r="AL152" s="130">
        <f t="shared" si="138"/>
        <v>3471.4564218683868</v>
      </c>
      <c r="AM152" s="130">
        <f t="shared" si="139"/>
        <v>2624.6226879227374</v>
      </c>
      <c r="AN152" s="130">
        <f t="shared" si="140"/>
        <v>2555.225973857645</v>
      </c>
      <c r="AO152" s="130">
        <f t="shared" si="141"/>
        <v>2526.2800199789</v>
      </c>
      <c r="AP152" s="130">
        <f t="shared" si="142"/>
        <v>3315.3061459708724</v>
      </c>
      <c r="AQ152" s="130">
        <f t="shared" si="143"/>
        <v>3058.681063909769</v>
      </c>
      <c r="AR152" s="130">
        <f t="shared" si="147"/>
        <v>300.2037821451823</v>
      </c>
      <c r="AS152" s="130">
        <f t="shared" si="148"/>
        <v>144.95337282527655</v>
      </c>
      <c r="AT152" s="130">
        <f t="shared" si="149"/>
        <v>-32.39021677578944</v>
      </c>
      <c r="AU152" s="130">
        <f t="shared" si="150"/>
        <v>25.120063798380887</v>
      </c>
      <c r="AV152" s="130">
        <f t="shared" si="151"/>
        <v>309.8740291698988</v>
      </c>
      <c r="AW152" s="130">
        <f t="shared" si="152"/>
        <v>28.85458084521939</v>
      </c>
      <c r="AX152" s="130">
        <f t="shared" si="153"/>
        <v>1556.6745252593578</v>
      </c>
      <c r="AY152" s="130">
        <f t="shared" si="154"/>
        <v>619.6323272164614</v>
      </c>
      <c r="AZ152" s="130">
        <f t="shared" si="155"/>
        <v>2652.7186823388056</v>
      </c>
      <c r="BA152" s="130">
        <f t="shared" si="156"/>
        <v>1140.738084521105</v>
      </c>
      <c r="BB152" s="130">
        <f t="shared" si="157"/>
        <v>23.06772601626485</v>
      </c>
      <c r="BC152" s="130">
        <f t="shared" si="158"/>
        <v>1117.6703585048401</v>
      </c>
      <c r="BD152" s="129">
        <f t="shared" si="159"/>
        <v>7411.189580447093</v>
      </c>
      <c r="BE152" s="129">
        <f t="shared" si="110"/>
        <v>25.254011971638622</v>
      </c>
      <c r="BF152" s="130">
        <f t="shared" si="160"/>
        <v>1.0592392084844258</v>
      </c>
      <c r="BG152" s="137">
        <f t="shared" si="161"/>
        <v>0.22220247293102127</v>
      </c>
      <c r="BH152" s="47"/>
      <c r="BI152" s="47"/>
      <c r="BJ152" s="47"/>
    </row>
    <row r="153" spans="1:62" ht="16.5" thickBot="1">
      <c r="A153" s="108">
        <f>IF(Data!A153&gt;0,Data!A153,"")</f>
        <v>133</v>
      </c>
      <c r="B153" s="109">
        <f>IF(A153&gt;0,IF(Data!$F$5="lb",Data!B153/2.204,Data!B153),"")</f>
        <v>31.63253244168096</v>
      </c>
      <c r="C153" s="109">
        <f>IF(A153&gt;0,Data!C153,"")</f>
        <v>0.06286130845546722</v>
      </c>
      <c r="D153" s="110">
        <f>IF(A153&gt;0,Data!D153,"")</f>
        <v>27.441715240478516</v>
      </c>
      <c r="E153" s="143">
        <f t="shared" si="111"/>
        <v>-0.2800367582744563</v>
      </c>
      <c r="F153" s="144">
        <f t="shared" si="112"/>
        <v>19.359758343753292</v>
      </c>
      <c r="G153" s="145">
        <f t="shared" si="113"/>
        <v>-8.113387550952957</v>
      </c>
      <c r="H153" s="111">
        <f>IF(A153&gt;0,IF(Data!$F$4="F",(Data!F153-32)/1.8,Data!F153),"")</f>
        <v>114.87109714084201</v>
      </c>
      <c r="I153" s="123">
        <f>IF(A153&gt;0,IF(Data!$F$4="F",(Data!G153-32)/1.8,Data!G153),"")</f>
        <v>26.740332709418404</v>
      </c>
      <c r="J153" s="136">
        <f t="shared" si="114"/>
        <v>0.997144097231779</v>
      </c>
      <c r="K153" s="128">
        <f t="shared" si="115"/>
        <v>0.8688510582634346</v>
      </c>
      <c r="L153" s="128">
        <f t="shared" si="116"/>
        <v>0.8663697041209683</v>
      </c>
      <c r="M153" s="155">
        <f t="shared" si="117"/>
        <v>4.474530817592669</v>
      </c>
      <c r="N153" s="130">
        <f t="shared" si="118"/>
        <v>31.63253244168096</v>
      </c>
      <c r="O153" s="130">
        <f t="shared" si="119"/>
        <v>72.98166892673042</v>
      </c>
      <c r="P153" s="130">
        <f t="shared" si="109"/>
        <v>29.26724645182545</v>
      </c>
      <c r="Q153" s="130">
        <f t="shared" si="120"/>
        <v>69.07328139488665</v>
      </c>
      <c r="R153" s="129">
        <f t="shared" si="144"/>
        <v>7914.558676058458</v>
      </c>
      <c r="S153" s="130">
        <f t="shared" si="121"/>
        <v>4.166666666666667</v>
      </c>
      <c r="T153" s="130">
        <f t="shared" si="122"/>
        <v>6.6</v>
      </c>
      <c r="U153" s="134">
        <f t="shared" si="145"/>
        <v>2.68125</v>
      </c>
      <c r="V153" s="130">
        <f t="shared" si="123"/>
        <v>19887</v>
      </c>
      <c r="W153" s="130">
        <f t="shared" si="124"/>
        <v>19.17</v>
      </c>
      <c r="X153" s="130">
        <f t="shared" si="125"/>
        <v>80.60881100201897</v>
      </c>
      <c r="Y153" s="130">
        <f t="shared" si="126"/>
        <v>21.381647480641636</v>
      </c>
      <c r="Z153" s="130">
        <f t="shared" si="127"/>
        <v>6.6063677870817745</v>
      </c>
      <c r="AA153" s="130">
        <f t="shared" si="128"/>
        <v>21.757101902889694</v>
      </c>
      <c r="AB153" s="130">
        <f t="shared" si="129"/>
        <v>0.021955897240079736</v>
      </c>
      <c r="AC153" s="130">
        <f t="shared" si="130"/>
        <v>0.6573335948146366</v>
      </c>
      <c r="AD153" s="130">
        <f t="shared" si="131"/>
        <v>41.747014692314465</v>
      </c>
      <c r="AE153" s="130">
        <f t="shared" si="132"/>
        <v>-12.34287675992108</v>
      </c>
      <c r="AF153" s="130">
        <f t="shared" si="133"/>
        <v>0.09563075575529296</v>
      </c>
      <c r="AG153" s="130">
        <f t="shared" si="134"/>
        <v>0.03340145310277522</v>
      </c>
      <c r="AH153" s="130">
        <f t="shared" si="135"/>
        <v>122.62998824021778</v>
      </c>
      <c r="AI153" s="130">
        <f t="shared" si="136"/>
        <v>33.099026239523084</v>
      </c>
      <c r="AJ153" s="130">
        <f t="shared" si="137"/>
        <v>13.175906470369913</v>
      </c>
      <c r="AK153" s="130">
        <f t="shared" si="146"/>
        <v>388.021097140842</v>
      </c>
      <c r="AL153" s="130">
        <f t="shared" si="138"/>
        <v>3482.4621038246023</v>
      </c>
      <c r="AM153" s="130">
        <f t="shared" si="139"/>
        <v>2633.1358537845654</v>
      </c>
      <c r="AN153" s="130">
        <f t="shared" si="140"/>
        <v>2563.5610719730166</v>
      </c>
      <c r="AO153" s="130">
        <f t="shared" si="141"/>
        <v>2534.510830289919</v>
      </c>
      <c r="AP153" s="130">
        <f t="shared" si="142"/>
        <v>3325.395834679706</v>
      </c>
      <c r="AQ153" s="130">
        <f t="shared" si="143"/>
        <v>3068.673344947528</v>
      </c>
      <c r="AR153" s="130">
        <f t="shared" si="147"/>
        <v>299.8903327094184</v>
      </c>
      <c r="AS153" s="130">
        <f t="shared" si="148"/>
        <v>145.38239661379401</v>
      </c>
      <c r="AT153" s="130">
        <f t="shared" si="149"/>
        <v>-32.50047133539246</v>
      </c>
      <c r="AU153" s="130">
        <f t="shared" si="150"/>
        <v>27.30798974619525</v>
      </c>
      <c r="AV153" s="130">
        <f t="shared" si="151"/>
        <v>310.8070333131574</v>
      </c>
      <c r="AW153" s="130">
        <f t="shared" si="152"/>
        <v>29.843576941174202</v>
      </c>
      <c r="AX153" s="130">
        <f t="shared" si="153"/>
        <v>1556.9011842905338</v>
      </c>
      <c r="AY153" s="130">
        <f t="shared" si="154"/>
        <v>619.7639845768406</v>
      </c>
      <c r="AZ153" s="130">
        <f t="shared" si="155"/>
        <v>2657.5056941463026</v>
      </c>
      <c r="BA153" s="130">
        <f t="shared" si="156"/>
        <v>1057.624817633649</v>
      </c>
      <c r="BB153" s="130">
        <f t="shared" si="157"/>
        <v>22.60314320319859</v>
      </c>
      <c r="BC153" s="130">
        <f t="shared" si="158"/>
        <v>1035.0216744304503</v>
      </c>
      <c r="BD153" s="129">
        <f t="shared" si="159"/>
        <v>6856.933858424809</v>
      </c>
      <c r="BE153" s="129">
        <f t="shared" si="110"/>
        <v>22.108775825802656</v>
      </c>
      <c r="BF153" s="130">
        <f t="shared" si="160"/>
        <v>1.0656462198677668</v>
      </c>
      <c r="BG153" s="137">
        <f t="shared" si="161"/>
        <v>0.21268789496457333</v>
      </c>
      <c r="BH153" s="47"/>
      <c r="BI153" s="47"/>
      <c r="BJ153" s="47"/>
    </row>
    <row r="154" spans="1:62" ht="16.5" thickBot="1">
      <c r="A154" s="108">
        <f>IF(Data!A154&gt;0,Data!A154,"")</f>
        <v>134</v>
      </c>
      <c r="B154" s="109">
        <f>IF(A154&gt;0,IF(Data!$F$5="lb",Data!B154/2.204,Data!B154),"")</f>
        <v>31.180463122802287</v>
      </c>
      <c r="C154" s="109">
        <f>IF(A154&gt;0,Data!C154,"")</f>
        <v>0.05487562716007233</v>
      </c>
      <c r="D154" s="110">
        <f>IF(A154&gt;0,Data!D154,"")</f>
        <v>27.441442489624023</v>
      </c>
      <c r="E154" s="143">
        <f t="shared" si="111"/>
        <v>-0.27982051959271903</v>
      </c>
      <c r="F154" s="144">
        <f t="shared" si="112"/>
        <v>19.360232821826976</v>
      </c>
      <c r="G154" s="145">
        <f t="shared" si="113"/>
        <v>-8.108647481377083</v>
      </c>
      <c r="H154" s="111">
        <f>IF(A154&gt;0,IF(Data!$F$4="F",(Data!F154-32)/1.8,Data!F154),"")</f>
        <v>114.90105523003471</v>
      </c>
      <c r="I154" s="123">
        <f>IF(A154&gt;0,IF(Data!$F$4="F",(Data!G154-32)/1.8,Data!G154),"")</f>
        <v>26.656519571940102</v>
      </c>
      <c r="J154" s="136">
        <f t="shared" si="114"/>
        <v>0.9973949304064473</v>
      </c>
      <c r="K154" s="128">
        <f t="shared" si="115"/>
        <v>0.8688321234990115</v>
      </c>
      <c r="L154" s="128">
        <f t="shared" si="116"/>
        <v>0.8665687553521825</v>
      </c>
      <c r="M154" s="155">
        <f t="shared" si="117"/>
        <v>4.476257372855939</v>
      </c>
      <c r="N154" s="130">
        <f t="shared" si="118"/>
        <v>31.180463122802287</v>
      </c>
      <c r="O154" s="130">
        <f t="shared" si="119"/>
        <v>73.36779541053471</v>
      </c>
      <c r="P154" s="130">
        <f t="shared" si="109"/>
        <v>28.86056440873928</v>
      </c>
      <c r="Q154" s="130">
        <f t="shared" si="120"/>
        <v>69.50302257771303</v>
      </c>
      <c r="R154" s="129">
        <f t="shared" si="144"/>
        <v>7912.637718533466</v>
      </c>
      <c r="S154" s="130">
        <f t="shared" si="121"/>
        <v>4.166666666666667</v>
      </c>
      <c r="T154" s="130">
        <f t="shared" si="122"/>
        <v>6.6</v>
      </c>
      <c r="U154" s="134">
        <f t="shared" si="145"/>
        <v>2.68125</v>
      </c>
      <c r="V154" s="130">
        <f t="shared" si="123"/>
        <v>19887</v>
      </c>
      <c r="W154" s="130">
        <f t="shared" si="124"/>
        <v>19.17</v>
      </c>
      <c r="X154" s="130">
        <f t="shared" si="125"/>
        <v>80.612329364593</v>
      </c>
      <c r="Y154" s="130">
        <f t="shared" si="126"/>
        <v>21.38258073331379</v>
      </c>
      <c r="Z154" s="130">
        <f t="shared" si="127"/>
        <v>6.604107857706019</v>
      </c>
      <c r="AA154" s="130">
        <f t="shared" si="128"/>
        <v>21.75196001644789</v>
      </c>
      <c r="AB154" s="130">
        <f t="shared" si="129"/>
        <v>0.020797956990985966</v>
      </c>
      <c r="AC154" s="130">
        <f t="shared" si="130"/>
        <v>0.657108731841749</v>
      </c>
      <c r="AD154" s="130">
        <f t="shared" si="131"/>
        <v>41.760885466718655</v>
      </c>
      <c r="AE154" s="130">
        <f t="shared" si="132"/>
        <v>-12.33988697525006</v>
      </c>
      <c r="AF154" s="130">
        <f t="shared" si="133"/>
        <v>0.08351072585242708</v>
      </c>
      <c r="AG154" s="130">
        <f t="shared" si="134"/>
        <v>0.03165070860144151</v>
      </c>
      <c r="AH154" s="130">
        <f t="shared" si="135"/>
        <v>122.67730659833448</v>
      </c>
      <c r="AI154" s="130">
        <f t="shared" si="136"/>
        <v>33.10252772852575</v>
      </c>
      <c r="AJ154" s="130">
        <f t="shared" si="137"/>
        <v>13.175906470369913</v>
      </c>
      <c r="AK154" s="130">
        <f t="shared" si="146"/>
        <v>388.0510552300347</v>
      </c>
      <c r="AL154" s="130">
        <f t="shared" si="138"/>
        <v>3486.888831506013</v>
      </c>
      <c r="AM154" s="130">
        <f t="shared" si="139"/>
        <v>2636.513679287955</v>
      </c>
      <c r="AN154" s="130">
        <f t="shared" si="140"/>
        <v>2566.857159949615</v>
      </c>
      <c r="AO154" s="130">
        <f t="shared" si="141"/>
        <v>2537.7679905230675</v>
      </c>
      <c r="AP154" s="130">
        <f t="shared" si="142"/>
        <v>3329.5556421851593</v>
      </c>
      <c r="AQ154" s="130">
        <f t="shared" si="143"/>
        <v>3072.6212632081456</v>
      </c>
      <c r="AR154" s="130">
        <f t="shared" si="147"/>
        <v>299.8065195719401</v>
      </c>
      <c r="AS154" s="130">
        <f t="shared" si="148"/>
        <v>145.61556512770306</v>
      </c>
      <c r="AT154" s="130">
        <f t="shared" si="149"/>
        <v>-32.53428081111405</v>
      </c>
      <c r="AU154" s="130">
        <f t="shared" si="150"/>
        <v>23.847310945742787</v>
      </c>
      <c r="AV154" s="130">
        <f t="shared" si="151"/>
        <v>311.32654184883756</v>
      </c>
      <c r="AW154" s="130">
        <f t="shared" si="152"/>
        <v>28.27945096122786</v>
      </c>
      <c r="AX154" s="130">
        <f t="shared" si="153"/>
        <v>1557.1965722601542</v>
      </c>
      <c r="AY154" s="130">
        <f t="shared" si="154"/>
        <v>619.8160019785952</v>
      </c>
      <c r="AZ154" s="130">
        <f t="shared" si="155"/>
        <v>2653.5471623111466</v>
      </c>
      <c r="BA154" s="130">
        <f t="shared" si="156"/>
        <v>1055.7930992311874</v>
      </c>
      <c r="BB154" s="130">
        <f t="shared" si="157"/>
        <v>20.61290804898332</v>
      </c>
      <c r="BC154" s="130">
        <f t="shared" si="158"/>
        <v>1035.180191182204</v>
      </c>
      <c r="BD154" s="129">
        <f t="shared" si="159"/>
        <v>6856.844619302278</v>
      </c>
      <c r="BE154" s="129">
        <f t="shared" si="110"/>
        <v>21.068984335962995</v>
      </c>
      <c r="BF154" s="130">
        <f t="shared" si="160"/>
        <v>0.9303627163421645</v>
      </c>
      <c r="BG154" s="137">
        <f t="shared" si="161"/>
        <v>0.20149089612154888</v>
      </c>
      <c r="BH154" s="47"/>
      <c r="BI154" s="47"/>
      <c r="BJ154" s="47"/>
    </row>
    <row r="155" spans="1:62" ht="16.5" thickBot="1">
      <c r="A155" s="108">
        <f>IF(Data!A155&gt;0,Data!A155,"")</f>
        <v>135</v>
      </c>
      <c r="B155" s="109">
        <f>IF(A155&gt;0,IF(Data!$F$5="lb",Data!B155/2.204,Data!B155),"")</f>
        <v>30.748370771183072</v>
      </c>
      <c r="C155" s="109">
        <f>IF(A155&gt;0,Data!C155,"")</f>
        <v>0.060252245515584946</v>
      </c>
      <c r="D155" s="110">
        <f>IF(A155&gt;0,Data!D155,"")</f>
        <v>27.441532135009766</v>
      </c>
      <c r="E155" s="143">
        <f t="shared" si="111"/>
        <v>-0.27996366270396145</v>
      </c>
      <c r="F155" s="144">
        <f t="shared" si="112"/>
        <v>19.35991876435903</v>
      </c>
      <c r="G155" s="145">
        <f t="shared" si="113"/>
        <v>-8.111739493408528</v>
      </c>
      <c r="H155" s="111">
        <f>IF(A155&gt;0,IF(Data!$F$4="F",(Data!F155-32)/1.8,Data!F155),"")</f>
        <v>115.38914150661893</v>
      </c>
      <c r="I155" s="123">
        <f>IF(A155&gt;0,IF(Data!$F$4="F",(Data!G155-32)/1.8,Data!G155),"")</f>
        <v>26.75654517279731</v>
      </c>
      <c r="J155" s="136">
        <f t="shared" si="114"/>
        <v>0.9972260312506918</v>
      </c>
      <c r="K155" s="128">
        <f t="shared" si="115"/>
        <v>0.868691682231138</v>
      </c>
      <c r="L155" s="128">
        <f t="shared" si="116"/>
        <v>0.8662819586518449</v>
      </c>
      <c r="M155" s="155">
        <f t="shared" si="117"/>
        <v>4.475109792170922</v>
      </c>
      <c r="N155" s="130">
        <f t="shared" si="118"/>
        <v>30.748370771183072</v>
      </c>
      <c r="O155" s="130">
        <f t="shared" si="119"/>
        <v>73.73685894447082</v>
      </c>
      <c r="P155" s="130">
        <f t="shared" si="109"/>
        <v>28.471486637018447</v>
      </c>
      <c r="Q155" s="130">
        <f t="shared" si="120"/>
        <v>69.91416131539103</v>
      </c>
      <c r="R155" s="129">
        <f t="shared" si="144"/>
        <v>7701.033246012511</v>
      </c>
      <c r="S155" s="130">
        <f t="shared" si="121"/>
        <v>4.166666666666667</v>
      </c>
      <c r="T155" s="130">
        <f t="shared" si="122"/>
        <v>6.6</v>
      </c>
      <c r="U155" s="134">
        <f t="shared" si="145"/>
        <v>2.68125</v>
      </c>
      <c r="V155" s="130">
        <f t="shared" si="123"/>
        <v>19887</v>
      </c>
      <c r="W155" s="130">
        <f t="shared" si="124"/>
        <v>19.17</v>
      </c>
      <c r="X155" s="130">
        <f t="shared" si="125"/>
        <v>80.60995511288317</v>
      </c>
      <c r="Y155" s="130">
        <f t="shared" si="126"/>
        <v>21.38195095832445</v>
      </c>
      <c r="Z155" s="130">
        <f t="shared" si="127"/>
        <v>6.605606832054424</v>
      </c>
      <c r="AA155" s="130">
        <f t="shared" si="128"/>
        <v>21.75534770637676</v>
      </c>
      <c r="AB155" s="130">
        <f t="shared" si="129"/>
        <v>0.02157741970141913</v>
      </c>
      <c r="AC155" s="130">
        <f t="shared" si="130"/>
        <v>0.6572578797894152</v>
      </c>
      <c r="AD155" s="130">
        <f t="shared" si="131"/>
        <v>41.75154528965405</v>
      </c>
      <c r="AE155" s="130">
        <f t="shared" si="132"/>
        <v>-12.341791164234534</v>
      </c>
      <c r="AF155" s="130">
        <f t="shared" si="133"/>
        <v>0.09167215391147492</v>
      </c>
      <c r="AG155" s="130">
        <f t="shared" si="134"/>
        <v>0.03282945760700886</v>
      </c>
      <c r="AH155" s="130">
        <f t="shared" si="135"/>
        <v>122.64585574646975</v>
      </c>
      <c r="AI155" s="130">
        <f t="shared" si="136"/>
        <v>33.10017023051462</v>
      </c>
      <c r="AJ155" s="130">
        <f t="shared" si="137"/>
        <v>13.175906470369913</v>
      </c>
      <c r="AK155" s="130">
        <f t="shared" si="146"/>
        <v>388.5391415066189</v>
      </c>
      <c r="AL155" s="130">
        <f t="shared" si="138"/>
        <v>3502.9784610567413</v>
      </c>
      <c r="AM155" s="130">
        <f t="shared" si="139"/>
        <v>2648.3424739158877</v>
      </c>
      <c r="AN155" s="130">
        <f t="shared" si="140"/>
        <v>2578.2910218258708</v>
      </c>
      <c r="AO155" s="130">
        <f t="shared" si="141"/>
        <v>2549.0895687845077</v>
      </c>
      <c r="AP155" s="130">
        <f t="shared" si="142"/>
        <v>3345.6570889481036</v>
      </c>
      <c r="AQ155" s="130">
        <f t="shared" si="143"/>
        <v>3086.281859571913</v>
      </c>
      <c r="AR155" s="130">
        <f t="shared" si="147"/>
        <v>299.9065451727973</v>
      </c>
      <c r="AS155" s="130">
        <f t="shared" si="148"/>
        <v>146.25476386549315</v>
      </c>
      <c r="AT155" s="130">
        <f t="shared" si="149"/>
        <v>-32.68528974444213</v>
      </c>
      <c r="AU155" s="130">
        <f t="shared" si="150"/>
        <v>26.178935343251414</v>
      </c>
      <c r="AV155" s="130">
        <f t="shared" si="151"/>
        <v>312.6352715379755</v>
      </c>
      <c r="AW155" s="130">
        <f t="shared" si="152"/>
        <v>29.333174773193786</v>
      </c>
      <c r="AX155" s="130">
        <f t="shared" si="153"/>
        <v>1557.537839796677</v>
      </c>
      <c r="AY155" s="130">
        <f t="shared" si="154"/>
        <v>619.9959927186136</v>
      </c>
      <c r="AZ155" s="130">
        <f t="shared" si="155"/>
        <v>2659.2506882907624</v>
      </c>
      <c r="BA155" s="130">
        <f t="shared" si="156"/>
        <v>1029.7670820138187</v>
      </c>
      <c r="BB155" s="130">
        <f t="shared" si="157"/>
        <v>21.362361469596646</v>
      </c>
      <c r="BC155" s="130">
        <f t="shared" si="158"/>
        <v>1008.4047205442221</v>
      </c>
      <c r="BD155" s="129">
        <f t="shared" si="159"/>
        <v>6671.266163998693</v>
      </c>
      <c r="BE155" s="129">
        <f t="shared" si="110"/>
        <v>21.463831873564214</v>
      </c>
      <c r="BF155" s="130">
        <f t="shared" si="160"/>
        <v>0.993974382267996</v>
      </c>
      <c r="BG155" s="137">
        <f t="shared" si="161"/>
        <v>0.20340583857203887</v>
      </c>
      <c r="BH155" s="47"/>
      <c r="BI155" s="47"/>
      <c r="BJ155" s="47"/>
    </row>
    <row r="156" spans="1:62" ht="16.5" thickBot="1">
      <c r="A156" s="108">
        <f>IF(Data!A156&gt;0,Data!A156,"")</f>
        <v>136</v>
      </c>
      <c r="B156" s="109">
        <f>IF(A156&gt;0,IF(Data!$F$5="lb",Data!B156/2.204,Data!B156),"")</f>
        <v>30.320750823254592</v>
      </c>
      <c r="C156" s="109">
        <f>IF(A156&gt;0,Data!C156,"")</f>
        <v>0.06020347774028778</v>
      </c>
      <c r="D156" s="110">
        <f>IF(A156&gt;0,Data!D156,"")</f>
        <v>27.441471099853516</v>
      </c>
      <c r="E156" s="143">
        <f t="shared" si="111"/>
        <v>-0.27996078789354095</v>
      </c>
      <c r="F156" s="144">
        <f t="shared" si="112"/>
        <v>19.35992507295157</v>
      </c>
      <c r="G156" s="145">
        <f t="shared" si="113"/>
        <v>-8.11164776577209</v>
      </c>
      <c r="H156" s="111">
        <f>IF(A156&gt;0,IF(Data!$F$4="F",(Data!F156-32)/1.8,Data!F156),"")</f>
        <v>116.49481879340277</v>
      </c>
      <c r="I156" s="123">
        <f>IF(A156&gt;0,IF(Data!$F$4="F",(Data!G156-32)/1.8,Data!G156),"")</f>
        <v>26.634640163845486</v>
      </c>
      <c r="J156" s="136">
        <f t="shared" si="114"/>
        <v>0.997227563698782</v>
      </c>
      <c r="K156" s="128">
        <f t="shared" si="115"/>
        <v>0.8682893673705206</v>
      </c>
      <c r="L156" s="128">
        <f t="shared" si="116"/>
        <v>0.865882090408461</v>
      </c>
      <c r="M156" s="155">
        <f t="shared" si="117"/>
        <v>4.47512981491591</v>
      </c>
      <c r="N156" s="130">
        <f t="shared" si="118"/>
        <v>30.320750823254592</v>
      </c>
      <c r="O156" s="130">
        <f t="shared" si="119"/>
        <v>74.10210245913302</v>
      </c>
      <c r="P156" s="130">
        <f t="shared" si="109"/>
        <v>28.086085277043942</v>
      </c>
      <c r="Q156" s="130">
        <f t="shared" si="120"/>
        <v>70.32141518635488</v>
      </c>
      <c r="R156" s="129">
        <f t="shared" si="144"/>
        <v>8035.643688702649</v>
      </c>
      <c r="S156" s="130">
        <f t="shared" si="121"/>
        <v>4.166666666666667</v>
      </c>
      <c r="T156" s="130">
        <f t="shared" si="122"/>
        <v>6.6</v>
      </c>
      <c r="U156" s="134">
        <f t="shared" si="145"/>
        <v>2.68125</v>
      </c>
      <c r="V156" s="130">
        <f t="shared" si="123"/>
        <v>19887</v>
      </c>
      <c r="W156" s="130">
        <f t="shared" si="124"/>
        <v>19.17</v>
      </c>
      <c r="X156" s="130">
        <f t="shared" si="125"/>
        <v>80.60997318817829</v>
      </c>
      <c r="Y156" s="130">
        <f t="shared" si="126"/>
        <v>21.381955752832436</v>
      </c>
      <c r="Z156" s="130">
        <f t="shared" si="127"/>
        <v>6.60557875825126</v>
      </c>
      <c r="AA156" s="130">
        <f t="shared" si="128"/>
        <v>21.755269405322924</v>
      </c>
      <c r="AB156" s="130">
        <f t="shared" si="129"/>
        <v>0.021570248453116392</v>
      </c>
      <c r="AC156" s="130">
        <f t="shared" si="130"/>
        <v>0.6572550864460004</v>
      </c>
      <c r="AD156" s="130">
        <f t="shared" si="131"/>
        <v>41.75162987058616</v>
      </c>
      <c r="AE156" s="130">
        <f t="shared" si="132"/>
        <v>-12.341704055322724</v>
      </c>
      <c r="AF156" s="130">
        <f t="shared" si="133"/>
        <v>0.09159834435946058</v>
      </c>
      <c r="AG156" s="130">
        <f t="shared" si="134"/>
        <v>0.03281868622691684</v>
      </c>
      <c r="AH156" s="130">
        <f t="shared" si="135"/>
        <v>122.64640449427871</v>
      </c>
      <c r="AI156" s="130">
        <f t="shared" si="136"/>
        <v>33.10019177327481</v>
      </c>
      <c r="AJ156" s="130">
        <f t="shared" si="137"/>
        <v>13.175906470369913</v>
      </c>
      <c r="AK156" s="130">
        <f t="shared" si="146"/>
        <v>389.64481879340275</v>
      </c>
      <c r="AL156" s="130">
        <f t="shared" si="138"/>
        <v>3552.777364565595</v>
      </c>
      <c r="AM156" s="130">
        <f t="shared" si="139"/>
        <v>2685.420448561502</v>
      </c>
      <c r="AN156" s="130">
        <f t="shared" si="140"/>
        <v>2614.2484840722923</v>
      </c>
      <c r="AO156" s="130">
        <f t="shared" si="141"/>
        <v>2584.669104627163</v>
      </c>
      <c r="AP156" s="130">
        <f t="shared" si="142"/>
        <v>3394.4704808291194</v>
      </c>
      <c r="AQ156" s="130">
        <f t="shared" si="143"/>
        <v>3129.2795344415995</v>
      </c>
      <c r="AR156" s="130">
        <f t="shared" si="147"/>
        <v>299.78464016384544</v>
      </c>
      <c r="AS156" s="130">
        <f t="shared" si="148"/>
        <v>148.33424553793924</v>
      </c>
      <c r="AT156" s="130">
        <f t="shared" si="149"/>
        <v>-33.14266444025806</v>
      </c>
      <c r="AU156" s="130">
        <f t="shared" si="150"/>
        <v>26.16115109820208</v>
      </c>
      <c r="AV156" s="130">
        <f t="shared" si="151"/>
        <v>317.00037248996824</v>
      </c>
      <c r="AW156" s="130">
        <f t="shared" si="152"/>
        <v>29.32515251862425</v>
      </c>
      <c r="AX156" s="130">
        <f t="shared" si="153"/>
        <v>1558.962084781321</v>
      </c>
      <c r="AY156" s="130">
        <f t="shared" si="154"/>
        <v>620.56252606114</v>
      </c>
      <c r="AZ156" s="130">
        <f t="shared" si="155"/>
        <v>2667.2028680469366</v>
      </c>
      <c r="BA156" s="130">
        <f t="shared" si="156"/>
        <v>1077.7237337512431</v>
      </c>
      <c r="BB156" s="130">
        <f t="shared" si="157"/>
        <v>22.278243407583325</v>
      </c>
      <c r="BC156" s="130">
        <f t="shared" si="158"/>
        <v>1055.4454903436597</v>
      </c>
      <c r="BD156" s="129">
        <f t="shared" si="159"/>
        <v>6957.919954951406</v>
      </c>
      <c r="BE156" s="129">
        <f t="shared" si="110"/>
        <v>21.24927383717747</v>
      </c>
      <c r="BF156" s="130">
        <f t="shared" si="160"/>
        <v>1.0363275716264855</v>
      </c>
      <c r="BG156" s="137">
        <f t="shared" si="161"/>
        <v>0.21217419930675263</v>
      </c>
      <c r="BH156" s="47"/>
      <c r="BI156" s="47"/>
      <c r="BJ156" s="47"/>
    </row>
    <row r="157" spans="1:62" ht="16.5" thickBot="1">
      <c r="A157" s="108">
        <f>IF(Data!A157&gt;0,Data!A157,"")</f>
        <v>137</v>
      </c>
      <c r="B157" s="109">
        <f>IF(A157&gt;0,IF(Data!$F$5="lb",Data!B157/2.204,Data!B157),"")</f>
        <v>29.852155765041896</v>
      </c>
      <c r="C157" s="109">
        <f>IF(A157&gt;0,Data!C157,"")</f>
        <v>0.057813871651887894</v>
      </c>
      <c r="D157" s="110">
        <f>IF(A157&gt;0,Data!D157,"")</f>
        <v>27.441471099853516</v>
      </c>
      <c r="E157" s="143">
        <f t="shared" si="111"/>
        <v>-0.27989821862721576</v>
      </c>
      <c r="F157" s="144">
        <f t="shared" si="112"/>
        <v>19.360062364833745</v>
      </c>
      <c r="G157" s="145">
        <f t="shared" si="113"/>
        <v>-8.110315670845715</v>
      </c>
      <c r="H157" s="111">
        <f>IF(A157&gt;0,IF(Data!$F$4="F",(Data!F157-32)/1.8,Data!F157),"")</f>
        <v>117.75166829427083</v>
      </c>
      <c r="I157" s="123">
        <f>IF(A157&gt;0,IF(Data!$F$4="F",(Data!G157-32)/1.8,Data!G157),"")</f>
        <v>26.727430555555554</v>
      </c>
      <c r="J157" s="136">
        <f t="shared" si="114"/>
        <v>0.997302620283421</v>
      </c>
      <c r="K157" s="128">
        <f t="shared" si="115"/>
        <v>0.8679109973600685</v>
      </c>
      <c r="L157" s="128">
        <f t="shared" si="116"/>
        <v>0.8655699118399935</v>
      </c>
      <c r="M157" s="155">
        <f t="shared" si="117"/>
        <v>4.475633426881298</v>
      </c>
      <c r="N157" s="130">
        <f t="shared" si="118"/>
        <v>29.852155765041896</v>
      </c>
      <c r="O157" s="130">
        <f t="shared" si="119"/>
        <v>74.50234409155466</v>
      </c>
      <c r="P157" s="130">
        <f t="shared" si="109"/>
        <v>27.663356331924405</v>
      </c>
      <c r="Q157" s="130">
        <f t="shared" si="120"/>
        <v>70.76811314113064</v>
      </c>
      <c r="R157" s="129">
        <f t="shared" si="144"/>
        <v>8701.622190946222</v>
      </c>
      <c r="S157" s="130">
        <f t="shared" si="121"/>
        <v>4.166666666666667</v>
      </c>
      <c r="T157" s="130">
        <f t="shared" si="122"/>
        <v>6.6</v>
      </c>
      <c r="U157" s="134">
        <f t="shared" si="145"/>
        <v>2.68125</v>
      </c>
      <c r="V157" s="130">
        <f t="shared" si="123"/>
        <v>19887</v>
      </c>
      <c r="W157" s="130">
        <f t="shared" si="124"/>
        <v>19.17</v>
      </c>
      <c r="X157" s="130">
        <f t="shared" si="125"/>
        <v>80.61103069934032</v>
      </c>
      <c r="Y157" s="130">
        <f t="shared" si="126"/>
        <v>21.382236259771968</v>
      </c>
      <c r="Z157" s="130">
        <f t="shared" si="127"/>
        <v>6.604922126250201</v>
      </c>
      <c r="AA157" s="130">
        <f t="shared" si="128"/>
        <v>21.75379524088479</v>
      </c>
      <c r="AB157" s="130">
        <f t="shared" si="129"/>
        <v>0.021223887870434055</v>
      </c>
      <c r="AC157" s="130">
        <f t="shared" si="130"/>
        <v>0.657189751561895</v>
      </c>
      <c r="AD157" s="130">
        <f t="shared" si="131"/>
        <v>41.75578063205546</v>
      </c>
      <c r="AE157" s="130">
        <f t="shared" si="132"/>
        <v>-12.3409040563559</v>
      </c>
      <c r="AF157" s="130">
        <f t="shared" si="133"/>
        <v>0.08797135304451398</v>
      </c>
      <c r="AG157" s="130">
        <f t="shared" si="134"/>
        <v>0.03229491607255407</v>
      </c>
      <c r="AH157" s="130">
        <f t="shared" si="135"/>
        <v>122.66020659597622</v>
      </c>
      <c r="AI157" s="130">
        <f t="shared" si="136"/>
        <v>33.101239313583534</v>
      </c>
      <c r="AJ157" s="130">
        <f t="shared" si="137"/>
        <v>13.175906470369913</v>
      </c>
      <c r="AK157" s="130">
        <f t="shared" si="146"/>
        <v>390.9016682942708</v>
      </c>
      <c r="AL157" s="130">
        <f t="shared" si="138"/>
        <v>3600.5817761219596</v>
      </c>
      <c r="AM157" s="130">
        <f t="shared" si="139"/>
        <v>2720.760519252162</v>
      </c>
      <c r="AN157" s="130">
        <f t="shared" si="140"/>
        <v>2648.457740031182</v>
      </c>
      <c r="AO157" s="130">
        <f t="shared" si="141"/>
        <v>2618.5320408788234</v>
      </c>
      <c r="AP157" s="130">
        <f t="shared" si="142"/>
        <v>3441.8826409937883</v>
      </c>
      <c r="AQ157" s="130">
        <f t="shared" si="143"/>
        <v>3170.166704474575</v>
      </c>
      <c r="AR157" s="130">
        <f t="shared" si="147"/>
        <v>299.8774305555555</v>
      </c>
      <c r="AS157" s="130">
        <f t="shared" si="148"/>
        <v>150.3451027915252</v>
      </c>
      <c r="AT157" s="130">
        <f t="shared" si="149"/>
        <v>-33.57664452841199</v>
      </c>
      <c r="AU157" s="130">
        <f t="shared" si="150"/>
        <v>25.128265522997904</v>
      </c>
      <c r="AV157" s="130">
        <f t="shared" si="151"/>
        <v>321.18968111237973</v>
      </c>
      <c r="AW157" s="130">
        <f t="shared" si="152"/>
        <v>28.858668622502915</v>
      </c>
      <c r="AX157" s="130">
        <f t="shared" si="153"/>
        <v>1560.3648381277217</v>
      </c>
      <c r="AY157" s="130">
        <f t="shared" si="154"/>
        <v>621.1012515893326</v>
      </c>
      <c r="AZ157" s="130">
        <f t="shared" si="155"/>
        <v>2673.411163238048</v>
      </c>
      <c r="BA157" s="130">
        <f t="shared" si="156"/>
        <v>1169.7598382639692</v>
      </c>
      <c r="BB157" s="130">
        <f t="shared" si="157"/>
        <v>23.471507765441814</v>
      </c>
      <c r="BC157" s="130">
        <f t="shared" si="158"/>
        <v>1146.2883304985273</v>
      </c>
      <c r="BD157" s="129">
        <f t="shared" si="159"/>
        <v>7531.862352682253</v>
      </c>
      <c r="BE157" s="129">
        <f t="shared" si="110"/>
        <v>22.67636020903964</v>
      </c>
      <c r="BF157" s="130">
        <f t="shared" si="160"/>
        <v>1.0777803277996585</v>
      </c>
      <c r="BG157" s="137">
        <f t="shared" si="161"/>
        <v>0.2260919461772473</v>
      </c>
      <c r="BH157" s="47"/>
      <c r="BI157" s="47"/>
      <c r="BJ157" s="47"/>
    </row>
    <row r="158" spans="1:62" ht="16.5" thickBot="1">
      <c r="A158" s="108">
        <f>IF(Data!A158&gt;0,Data!A158,"")</f>
        <v>138</v>
      </c>
      <c r="B158" s="109">
        <f>IF(A158&gt;0,IF(Data!$F$5="lb",Data!B158/2.204,Data!B158),"")</f>
        <v>29.3512015507139</v>
      </c>
      <c r="C158" s="109">
        <f>IF(A158&gt;0,Data!C158,"")</f>
        <v>0.05786263570189476</v>
      </c>
      <c r="D158" s="110">
        <f>IF(A158&gt;0,Data!D158,"")</f>
        <v>27.44174575805664</v>
      </c>
      <c r="E158" s="143">
        <f t="shared" si="111"/>
        <v>-0.2799066877274764</v>
      </c>
      <c r="F158" s="144">
        <f t="shared" si="112"/>
        <v>19.360043783005516</v>
      </c>
      <c r="G158" s="145">
        <f t="shared" si="113"/>
        <v>-8.110633292902072</v>
      </c>
      <c r="H158" s="111">
        <f>IF(A158&gt;0,IF(Data!$F$4="F",(Data!F158-32)/1.8,Data!F158),"")</f>
        <v>118.63650851779514</v>
      </c>
      <c r="I158" s="123">
        <f>IF(A158&gt;0,IF(Data!$F$4="F",(Data!G158-32)/1.8,Data!G158),"")</f>
        <v>27.104835510253906</v>
      </c>
      <c r="J158" s="136">
        <f t="shared" si="114"/>
        <v>0.9973010840030615</v>
      </c>
      <c r="K158" s="128">
        <f t="shared" si="115"/>
        <v>0.8677404663580452</v>
      </c>
      <c r="L158" s="128">
        <f t="shared" si="116"/>
        <v>0.8653985077322007</v>
      </c>
      <c r="M158" s="155">
        <f t="shared" si="117"/>
        <v>4.475579283075825</v>
      </c>
      <c r="N158" s="130">
        <f t="shared" si="118"/>
        <v>29.3512015507139</v>
      </c>
      <c r="O158" s="130">
        <f t="shared" si="119"/>
        <v>74.93022468695807</v>
      </c>
      <c r="P158" s="130">
        <f t="shared" si="109"/>
        <v>27.21097870582192</v>
      </c>
      <c r="Q158" s="130">
        <f t="shared" si="120"/>
        <v>71.24614087663181</v>
      </c>
      <c r="R158" s="129">
        <f t="shared" si="144"/>
        <v>8480.954086573789</v>
      </c>
      <c r="S158" s="130">
        <f t="shared" si="121"/>
        <v>4.166666666666667</v>
      </c>
      <c r="T158" s="130">
        <f t="shared" si="122"/>
        <v>6.6</v>
      </c>
      <c r="U158" s="134">
        <f t="shared" si="145"/>
        <v>2.68125</v>
      </c>
      <c r="V158" s="130">
        <f t="shared" si="123"/>
        <v>19887</v>
      </c>
      <c r="W158" s="130">
        <f t="shared" si="124"/>
        <v>19.17</v>
      </c>
      <c r="X158" s="130">
        <f t="shared" si="125"/>
        <v>80.61102489914353</v>
      </c>
      <c r="Y158" s="130">
        <f t="shared" si="126"/>
        <v>21.382234721258232</v>
      </c>
      <c r="Z158" s="130">
        <f t="shared" si="127"/>
        <v>6.605001554762513</v>
      </c>
      <c r="AA158" s="130">
        <f t="shared" si="128"/>
        <v>21.754042295212415</v>
      </c>
      <c r="AB158" s="130">
        <f t="shared" si="129"/>
        <v>0.021231417751938153</v>
      </c>
      <c r="AC158" s="130">
        <f t="shared" si="130"/>
        <v>0.65719765469887</v>
      </c>
      <c r="AD158" s="130">
        <f t="shared" si="131"/>
        <v>41.755696420783075</v>
      </c>
      <c r="AE158" s="130">
        <f t="shared" si="132"/>
        <v>-12.341238948301465</v>
      </c>
      <c r="AF158" s="130">
        <f t="shared" si="133"/>
        <v>0.08804449511982448</v>
      </c>
      <c r="AG158" s="130">
        <f t="shared" si="134"/>
        <v>0.03230598526963163</v>
      </c>
      <c r="AH158" s="130">
        <f t="shared" si="135"/>
        <v>122.65872271878351</v>
      </c>
      <c r="AI158" s="130">
        <f t="shared" si="136"/>
        <v>33.101217175189376</v>
      </c>
      <c r="AJ158" s="130">
        <f t="shared" si="137"/>
        <v>13.175906470369913</v>
      </c>
      <c r="AK158" s="130">
        <f t="shared" si="146"/>
        <v>391.78650851779514</v>
      </c>
      <c r="AL158" s="130">
        <f t="shared" si="138"/>
        <v>3622.329299777253</v>
      </c>
      <c r="AM158" s="130">
        <f t="shared" si="139"/>
        <v>2736.4479255297065</v>
      </c>
      <c r="AN158" s="130">
        <f t="shared" si="140"/>
        <v>2663.545667856805</v>
      </c>
      <c r="AO158" s="130">
        <f t="shared" si="141"/>
        <v>2633.4878017275455</v>
      </c>
      <c r="AP158" s="130">
        <f t="shared" si="142"/>
        <v>3464.3051883819876</v>
      </c>
      <c r="AQ158" s="130">
        <f t="shared" si="143"/>
        <v>3188.168794081231</v>
      </c>
      <c r="AR158" s="130">
        <f t="shared" si="147"/>
        <v>300.2548355102539</v>
      </c>
      <c r="AS158" s="130">
        <f t="shared" si="148"/>
        <v>151.2528825776067</v>
      </c>
      <c r="AT158" s="130">
        <f t="shared" si="149"/>
        <v>-33.77115771854596</v>
      </c>
      <c r="AU158" s="130">
        <f t="shared" si="150"/>
        <v>25.15048634099954</v>
      </c>
      <c r="AV158" s="130">
        <f t="shared" si="151"/>
        <v>323.02025005539775</v>
      </c>
      <c r="AW158" s="130">
        <f t="shared" si="152"/>
        <v>28.869284416059593</v>
      </c>
      <c r="AX158" s="130">
        <f t="shared" si="153"/>
        <v>1560.9596856199464</v>
      </c>
      <c r="AY158" s="130">
        <f t="shared" si="154"/>
        <v>621.3384454382611</v>
      </c>
      <c r="AZ158" s="130">
        <f t="shared" si="155"/>
        <v>2676.8198767297254</v>
      </c>
      <c r="BA158" s="130">
        <f t="shared" si="156"/>
        <v>1141.549075907523</v>
      </c>
      <c r="BB158" s="130">
        <f t="shared" si="157"/>
        <v>22.889313011127825</v>
      </c>
      <c r="BC158" s="130">
        <f t="shared" si="158"/>
        <v>1118.6597628963953</v>
      </c>
      <c r="BD158" s="129">
        <f t="shared" si="159"/>
        <v>7339.405010666266</v>
      </c>
      <c r="BE158" s="129">
        <f t="shared" si="110"/>
        <v>24.280619233975298</v>
      </c>
      <c r="BF158" s="130">
        <f t="shared" si="160"/>
        <v>1.0513218172288652</v>
      </c>
      <c r="BG158" s="137">
        <f t="shared" si="161"/>
        <v>0.22043391384786043</v>
      </c>
      <c r="BH158" s="47"/>
      <c r="BI158" s="47"/>
      <c r="BJ158" s="47"/>
    </row>
    <row r="159" spans="1:62" ht="16.5" thickBot="1">
      <c r="A159" s="108">
        <f>IF(Data!A159&gt;0,Data!A159,"")</f>
        <v>139</v>
      </c>
      <c r="B159" s="109">
        <f>IF(A159&gt;0,IF(Data!$F$5="lb",Data!B159/2.204,Data!B159),"")</f>
        <v>28.908087424054983</v>
      </c>
      <c r="C159" s="109">
        <f>IF(A159&gt;0,Data!C159,"")</f>
        <v>0.06020347774028778</v>
      </c>
      <c r="D159" s="110">
        <f>IF(A159&gt;0,Data!D159,"")</f>
        <v>27.441471099853516</v>
      </c>
      <c r="E159" s="143">
        <f t="shared" si="111"/>
        <v>-0.27996078789354095</v>
      </c>
      <c r="F159" s="144">
        <f t="shared" si="112"/>
        <v>19.35992507295157</v>
      </c>
      <c r="G159" s="145">
        <f t="shared" si="113"/>
        <v>-8.11164776577209</v>
      </c>
      <c r="H159" s="111">
        <f>IF(A159&gt;0,IF(Data!$F$4="F",(Data!F159-32)/1.8,Data!F159),"")</f>
        <v>119.07931857638889</v>
      </c>
      <c r="I159" s="123">
        <f>IF(A159&gt;0,IF(Data!$F$4="F",(Data!G159-32)/1.8,Data!G159),"")</f>
        <v>26.967069837782116</v>
      </c>
      <c r="J159" s="136">
        <f t="shared" si="114"/>
        <v>0.997227563698782</v>
      </c>
      <c r="K159" s="128">
        <f t="shared" si="115"/>
        <v>0.8675453502277145</v>
      </c>
      <c r="L159" s="128">
        <f t="shared" si="116"/>
        <v>0.8651401360057902</v>
      </c>
      <c r="M159" s="155">
        <f t="shared" si="117"/>
        <v>4.47512981491591</v>
      </c>
      <c r="N159" s="130">
        <f t="shared" si="118"/>
        <v>28.908087424054983</v>
      </c>
      <c r="O159" s="130">
        <f t="shared" si="119"/>
        <v>75.30870226220075</v>
      </c>
      <c r="P159" s="130">
        <f t="shared" si="109"/>
        <v>26.810441957048972</v>
      </c>
      <c r="Q159" s="130">
        <f t="shared" si="120"/>
        <v>71.66938832290926</v>
      </c>
      <c r="R159" s="129">
        <f t="shared" si="144"/>
        <v>8852.331894546802</v>
      </c>
      <c r="S159" s="130">
        <f t="shared" si="121"/>
        <v>4.166666666666667</v>
      </c>
      <c r="T159" s="130">
        <f t="shared" si="122"/>
        <v>6.6</v>
      </c>
      <c r="U159" s="134">
        <f t="shared" si="145"/>
        <v>2.68125</v>
      </c>
      <c r="V159" s="130">
        <f t="shared" si="123"/>
        <v>19887</v>
      </c>
      <c r="W159" s="130">
        <f t="shared" si="124"/>
        <v>19.17</v>
      </c>
      <c r="X159" s="130">
        <f t="shared" si="125"/>
        <v>80.60997318817829</v>
      </c>
      <c r="Y159" s="130">
        <f t="shared" si="126"/>
        <v>21.381955752832436</v>
      </c>
      <c r="Z159" s="130">
        <f t="shared" si="127"/>
        <v>6.60557875825126</v>
      </c>
      <c r="AA159" s="130">
        <f t="shared" si="128"/>
        <v>21.755269405322924</v>
      </c>
      <c r="AB159" s="130">
        <f t="shared" si="129"/>
        <v>0.021570248453116392</v>
      </c>
      <c r="AC159" s="130">
        <f t="shared" si="130"/>
        <v>0.6572550864460004</v>
      </c>
      <c r="AD159" s="130">
        <f t="shared" si="131"/>
        <v>41.75162987058616</v>
      </c>
      <c r="AE159" s="130">
        <f t="shared" si="132"/>
        <v>-12.341704055322724</v>
      </c>
      <c r="AF159" s="130">
        <f t="shared" si="133"/>
        <v>0.09159834435946058</v>
      </c>
      <c r="AG159" s="130">
        <f t="shared" si="134"/>
        <v>0.03281868622691684</v>
      </c>
      <c r="AH159" s="130">
        <f t="shared" si="135"/>
        <v>122.64640449427871</v>
      </c>
      <c r="AI159" s="130">
        <f t="shared" si="136"/>
        <v>33.10019177327481</v>
      </c>
      <c r="AJ159" s="130">
        <f t="shared" si="137"/>
        <v>13.175906470369913</v>
      </c>
      <c r="AK159" s="130">
        <f t="shared" si="146"/>
        <v>392.2293185763889</v>
      </c>
      <c r="AL159" s="130">
        <f t="shared" si="138"/>
        <v>3645.7127775102367</v>
      </c>
      <c r="AM159" s="130">
        <f t="shared" si="139"/>
        <v>2753.9313680603373</v>
      </c>
      <c r="AN159" s="130">
        <f t="shared" si="140"/>
        <v>2680.518931918108</v>
      </c>
      <c r="AO159" s="130">
        <f t="shared" si="141"/>
        <v>2650.2788414170795</v>
      </c>
      <c r="AP159" s="130">
        <f t="shared" si="142"/>
        <v>3487.0656632515083</v>
      </c>
      <c r="AQ159" s="130">
        <f t="shared" si="143"/>
        <v>3208.4710921190954</v>
      </c>
      <c r="AR159" s="130">
        <f t="shared" si="147"/>
        <v>300.1170698377821</v>
      </c>
      <c r="AS159" s="130">
        <f t="shared" si="148"/>
        <v>152.21445050107403</v>
      </c>
      <c r="AT159" s="130">
        <f t="shared" si="149"/>
        <v>-33.98820593327072</v>
      </c>
      <c r="AU159" s="130">
        <f t="shared" si="150"/>
        <v>26.167221361504716</v>
      </c>
      <c r="AV159" s="130">
        <f t="shared" si="151"/>
        <v>325.0471708070675</v>
      </c>
      <c r="AW159" s="130">
        <f t="shared" si="152"/>
        <v>29.328191370862296</v>
      </c>
      <c r="AX159" s="130">
        <f t="shared" si="153"/>
        <v>1561.5833405272704</v>
      </c>
      <c r="AY159" s="130">
        <f t="shared" si="154"/>
        <v>621.6059466183416</v>
      </c>
      <c r="AZ159" s="130">
        <f t="shared" si="155"/>
        <v>2681.95811525285</v>
      </c>
      <c r="BA159" s="130">
        <f t="shared" si="156"/>
        <v>1193.824275330187</v>
      </c>
      <c r="BB159" s="130">
        <f t="shared" si="157"/>
        <v>24.54245264118562</v>
      </c>
      <c r="BC159" s="130">
        <f t="shared" si="158"/>
        <v>1169.2818226890013</v>
      </c>
      <c r="BD159" s="129">
        <f t="shared" si="159"/>
        <v>7658.507619216614</v>
      </c>
      <c r="BE159" s="129">
        <f t="shared" si="110"/>
        <v>22.083770169083262</v>
      </c>
      <c r="BF159" s="130">
        <f t="shared" si="160"/>
        <v>1.14165286203581</v>
      </c>
      <c r="BG159" s="137">
        <f t="shared" si="161"/>
        <v>0.2337381427655532</v>
      </c>
      <c r="BH159" s="47"/>
      <c r="BI159" s="47"/>
      <c r="BJ159" s="47"/>
    </row>
    <row r="160" spans="1:62" ht="16.5" thickBot="1">
      <c r="A160" s="108">
        <f>IF(Data!A160&gt;0,Data!A160,"")</f>
        <v>140</v>
      </c>
      <c r="B160" s="109">
        <f>IF(A160&gt;0,IF(Data!$F$5="lb",Data!B160/2.204,Data!B160),"")</f>
        <v>28.366848691189134</v>
      </c>
      <c r="C160" s="109">
        <f>IF(A160&gt;0,Data!C160,"")</f>
        <v>0.09203646332025528</v>
      </c>
      <c r="D160" s="110">
        <f>IF(A160&gt;0,Data!D160,"")</f>
        <v>27.44168472290039</v>
      </c>
      <c r="E160" s="143">
        <f t="shared" si="111"/>
        <v>-0.2807988444232157</v>
      </c>
      <c r="F160" s="144">
        <f t="shared" si="112"/>
        <v>19.35808387442217</v>
      </c>
      <c r="G160" s="145">
        <f t="shared" si="113"/>
        <v>-8.129619080138347</v>
      </c>
      <c r="H160" s="111">
        <f>IF(A160&gt;0,IF(Data!$F$4="F",(Data!F160-32)/1.8,Data!F160),"")</f>
        <v>118.88938903808594</v>
      </c>
      <c r="I160" s="123">
        <f>IF(A160&gt;0,IF(Data!$F$4="F",(Data!G160-32)/1.8,Data!G160),"")</f>
        <v>26.75079345703125</v>
      </c>
      <c r="J160" s="136">
        <f t="shared" si="114"/>
        <v>0.9962291285809084</v>
      </c>
      <c r="K160" s="128">
        <f t="shared" si="115"/>
        <v>0.8674678580134191</v>
      </c>
      <c r="L160" s="128">
        <f t="shared" si="116"/>
        <v>0.8641967482606558</v>
      </c>
      <c r="M160" s="155">
        <f t="shared" si="117"/>
        <v>4.468396504835786</v>
      </c>
      <c r="N160" s="130">
        <f t="shared" si="118"/>
        <v>28.366848691189134</v>
      </c>
      <c r="O160" s="130">
        <f t="shared" si="119"/>
        <v>75.77099111944626</v>
      </c>
      <c r="P160" s="130">
        <f t="shared" si="109"/>
        <v>26.32071552942058</v>
      </c>
      <c r="Q160" s="130">
        <f t="shared" si="120"/>
        <v>72.18688256158596</v>
      </c>
      <c r="R160" s="129">
        <f t="shared" si="144"/>
        <v>12003.971130096936</v>
      </c>
      <c r="S160" s="130">
        <f t="shared" si="121"/>
        <v>4.166666666666667</v>
      </c>
      <c r="T160" s="130">
        <f t="shared" si="122"/>
        <v>6.6</v>
      </c>
      <c r="U160" s="134">
        <f t="shared" si="145"/>
        <v>2.68125</v>
      </c>
      <c r="V160" s="130">
        <f t="shared" si="123"/>
        <v>19887</v>
      </c>
      <c r="W160" s="130">
        <f t="shared" si="124"/>
        <v>19.17</v>
      </c>
      <c r="X160" s="130">
        <f t="shared" si="125"/>
        <v>80.59589789391771</v>
      </c>
      <c r="Y160" s="130">
        <f t="shared" si="126"/>
        <v>21.37822225302857</v>
      </c>
      <c r="Z160" s="130">
        <f t="shared" si="127"/>
        <v>6.614377395438746</v>
      </c>
      <c r="AA160" s="130">
        <f t="shared" si="128"/>
        <v>21.77507614873293</v>
      </c>
      <c r="AB160" s="130">
        <f t="shared" si="129"/>
        <v>0.026184628107465358</v>
      </c>
      <c r="AC160" s="130">
        <f t="shared" si="130"/>
        <v>0.6581305508461552</v>
      </c>
      <c r="AD160" s="130">
        <f t="shared" si="131"/>
        <v>41.69641522889152</v>
      </c>
      <c r="AE160" s="130">
        <f t="shared" si="132"/>
        <v>-12.352593371765124</v>
      </c>
      <c r="AF160" s="130">
        <f t="shared" si="133"/>
        <v>0.13984529847752009</v>
      </c>
      <c r="AG160" s="130">
        <f t="shared" si="134"/>
        <v>0.03978637380349523</v>
      </c>
      <c r="AH160" s="130">
        <f t="shared" si="135"/>
        <v>122.46186989845093</v>
      </c>
      <c r="AI160" s="130">
        <f t="shared" si="136"/>
        <v>33.08625639812165</v>
      </c>
      <c r="AJ160" s="130">
        <f t="shared" si="137"/>
        <v>13.175906470369913</v>
      </c>
      <c r="AK160" s="130">
        <f t="shared" si="146"/>
        <v>392.0393890380859</v>
      </c>
      <c r="AL160" s="130">
        <f t="shared" si="138"/>
        <v>3646.2128647617374</v>
      </c>
      <c r="AM160" s="130">
        <f t="shared" si="139"/>
        <v>2754.5506517372014</v>
      </c>
      <c r="AN160" s="130">
        <f t="shared" si="140"/>
        <v>2681.180843767964</v>
      </c>
      <c r="AO160" s="130">
        <f t="shared" si="141"/>
        <v>2650.9208755288787</v>
      </c>
      <c r="AP160" s="130">
        <f t="shared" si="142"/>
        <v>3487.015104931227</v>
      </c>
      <c r="AQ160" s="130">
        <f t="shared" si="143"/>
        <v>3209.2821426252926</v>
      </c>
      <c r="AR160" s="130">
        <f t="shared" si="147"/>
        <v>299.9007934570312</v>
      </c>
      <c r="AS160" s="130">
        <f t="shared" si="148"/>
        <v>152.0340056220315</v>
      </c>
      <c r="AT160" s="130">
        <f t="shared" si="149"/>
        <v>-34.025844122840255</v>
      </c>
      <c r="AU160" s="130">
        <f t="shared" si="150"/>
        <v>39.95019108741778</v>
      </c>
      <c r="AV160" s="130">
        <f t="shared" si="151"/>
        <v>324.6367273701052</v>
      </c>
      <c r="AW160" s="130">
        <f t="shared" si="152"/>
        <v>35.55481504584733</v>
      </c>
      <c r="AX160" s="130">
        <f t="shared" si="153"/>
        <v>1560.9527393938245</v>
      </c>
      <c r="AY160" s="130">
        <f t="shared" si="154"/>
        <v>621.616632943954</v>
      </c>
      <c r="AZ160" s="130">
        <f t="shared" si="155"/>
        <v>2700.7192673403397</v>
      </c>
      <c r="BA160" s="130">
        <f t="shared" si="156"/>
        <v>1630.1783132523751</v>
      </c>
      <c r="BB160" s="130">
        <f t="shared" si="157"/>
        <v>45.26531404615416</v>
      </c>
      <c r="BC160" s="130">
        <f t="shared" si="158"/>
        <v>1584.912999206221</v>
      </c>
      <c r="BD160" s="129">
        <f t="shared" si="159"/>
        <v>10373.792816844561</v>
      </c>
      <c r="BE160" s="129">
        <f t="shared" si="110"/>
        <v>36.72523120338371</v>
      </c>
      <c r="BF160" s="130">
        <f t="shared" si="160"/>
        <v>2.363532454211813</v>
      </c>
      <c r="BG160" s="137">
        <f t="shared" si="161"/>
        <v>0.3842465791790832</v>
      </c>
      <c r="BH160" s="47"/>
      <c r="BI160" s="47"/>
      <c r="BJ160" s="47"/>
    </row>
    <row r="161" spans="1:62" ht="16.5" thickBot="1">
      <c r="A161" s="108">
        <f>IF(Data!A161&gt;0,Data!A161,"")</f>
        <v>141</v>
      </c>
      <c r="B161" s="109">
        <f>IF(A161&gt;0,IF(Data!$F$5="lb",Data!B161/2.204,Data!B161),"")</f>
        <v>27.574958039714723</v>
      </c>
      <c r="C161" s="109">
        <f>IF(A161&gt;0,Data!C161,"")</f>
        <v>0.10784932225942612</v>
      </c>
      <c r="D161" s="110">
        <f>IF(A161&gt;0,Data!D161,"")</f>
        <v>27.441471099853516</v>
      </c>
      <c r="E161" s="143">
        <f t="shared" si="111"/>
        <v>-0.2812060772807946</v>
      </c>
      <c r="F161" s="144">
        <f t="shared" si="112"/>
        <v>19.35718763948764</v>
      </c>
      <c r="G161" s="145">
        <f t="shared" si="113"/>
        <v>-8.138208121495587</v>
      </c>
      <c r="H161" s="111">
        <f>IF(A161&gt;0,IF(Data!$F$4="F",(Data!F161-32)/1.8,Data!F161),"")</f>
        <v>118.65692986382378</v>
      </c>
      <c r="I161" s="123">
        <f>IF(A161&gt;0,IF(Data!$F$4="F",(Data!G161-32)/1.8,Data!G161),"")</f>
        <v>26.790953742133247</v>
      </c>
      <c r="J161" s="136">
        <f t="shared" si="114"/>
        <v>0.9957341352985435</v>
      </c>
      <c r="K161" s="128">
        <f t="shared" si="115"/>
        <v>0.8675216878838039</v>
      </c>
      <c r="L161" s="128">
        <f t="shared" si="116"/>
        <v>0.8638209577377123</v>
      </c>
      <c r="M161" s="155">
        <f t="shared" si="117"/>
        <v>4.465109262882718</v>
      </c>
      <c r="N161" s="130">
        <f t="shared" si="118"/>
        <v>27.574958039714723</v>
      </c>
      <c r="O161" s="130">
        <f t="shared" si="119"/>
        <v>76.44736958629235</v>
      </c>
      <c r="P161" s="130">
        <f t="shared" si="109"/>
        <v>25.60322406293755</v>
      </c>
      <c r="Q161" s="130">
        <f t="shared" si="120"/>
        <v>72.94505626685802</v>
      </c>
      <c r="R161" s="129">
        <f t="shared" si="144"/>
        <v>11019.603902129094</v>
      </c>
      <c r="S161" s="130">
        <f t="shared" si="121"/>
        <v>4.166666666666667</v>
      </c>
      <c r="T161" s="130">
        <f t="shared" si="122"/>
        <v>6.6</v>
      </c>
      <c r="U161" s="134">
        <f t="shared" si="145"/>
        <v>2.68125</v>
      </c>
      <c r="V161" s="130">
        <f t="shared" si="123"/>
        <v>19887</v>
      </c>
      <c r="W161" s="130">
        <f t="shared" si="124"/>
        <v>19.17</v>
      </c>
      <c r="X161" s="130">
        <f t="shared" si="125"/>
        <v>80.58888769938264</v>
      </c>
      <c r="Y161" s="130">
        <f t="shared" si="126"/>
        <v>21.37636278498213</v>
      </c>
      <c r="Z161" s="130">
        <f t="shared" si="127"/>
        <v>6.618671203228116</v>
      </c>
      <c r="AA161" s="130">
        <f t="shared" si="128"/>
        <v>21.78466245464436</v>
      </c>
      <c r="AB161" s="130">
        <f t="shared" si="129"/>
        <v>0.028476258004211275</v>
      </c>
      <c r="AC161" s="130">
        <f t="shared" si="130"/>
        <v>0.6585577847211975</v>
      </c>
      <c r="AD161" s="130">
        <f t="shared" si="131"/>
        <v>41.669040646859784</v>
      </c>
      <c r="AE161" s="130">
        <f t="shared" si="132"/>
        <v>-12.357621928257856</v>
      </c>
      <c r="AF161" s="130">
        <f t="shared" si="133"/>
        <v>0.1637659211713433</v>
      </c>
      <c r="AG161" s="130">
        <f t="shared" si="134"/>
        <v>0.043240333141406545</v>
      </c>
      <c r="AH161" s="130">
        <f t="shared" si="135"/>
        <v>122.37177901328764</v>
      </c>
      <c r="AI161" s="130">
        <f t="shared" si="136"/>
        <v>33.07934847944583</v>
      </c>
      <c r="AJ161" s="130">
        <f t="shared" si="137"/>
        <v>13.175906470369913</v>
      </c>
      <c r="AK161" s="130">
        <f t="shared" si="146"/>
        <v>391.80692986382377</v>
      </c>
      <c r="AL161" s="130">
        <f t="shared" si="138"/>
        <v>3635.168305719574</v>
      </c>
      <c r="AM161" s="130">
        <f t="shared" si="139"/>
        <v>2746.320998000203</v>
      </c>
      <c r="AN161" s="130">
        <f t="shared" si="140"/>
        <v>2673.198308178568</v>
      </c>
      <c r="AO161" s="130">
        <f t="shared" si="141"/>
        <v>2643.0225733446146</v>
      </c>
      <c r="AP161" s="130">
        <f t="shared" si="142"/>
        <v>3476.203092555841</v>
      </c>
      <c r="AQ161" s="130">
        <f t="shared" si="143"/>
        <v>3199.736178871718</v>
      </c>
      <c r="AR161" s="130">
        <f t="shared" si="147"/>
        <v>299.9409537421332</v>
      </c>
      <c r="AS161" s="130">
        <f t="shared" si="148"/>
        <v>151.47397588920535</v>
      </c>
      <c r="AT161" s="130">
        <f t="shared" si="149"/>
        <v>-33.93799658692231</v>
      </c>
      <c r="AU161" s="130">
        <f t="shared" si="150"/>
        <v>46.7823881134545</v>
      </c>
      <c r="AV161" s="130">
        <f t="shared" si="151"/>
        <v>323.43137427245796</v>
      </c>
      <c r="AW161" s="130">
        <f t="shared" si="152"/>
        <v>38.640954167611184</v>
      </c>
      <c r="AX161" s="130">
        <f t="shared" si="153"/>
        <v>1560.3110613959414</v>
      </c>
      <c r="AY161" s="130">
        <f t="shared" si="154"/>
        <v>621.4908562183673</v>
      </c>
      <c r="AZ161" s="130">
        <f t="shared" si="155"/>
        <v>2708.1926134701152</v>
      </c>
      <c r="BA161" s="130">
        <f t="shared" si="156"/>
        <v>1500.6391055017082</v>
      </c>
      <c r="BB161" s="130">
        <f t="shared" si="157"/>
        <v>47.008023283352244</v>
      </c>
      <c r="BC161" s="130">
        <f t="shared" si="158"/>
        <v>1453.631082218356</v>
      </c>
      <c r="BD161" s="129">
        <f t="shared" si="159"/>
        <v>9518.964796627386</v>
      </c>
      <c r="BE161" s="129">
        <f t="shared" si="110"/>
        <v>60.86856887751045</v>
      </c>
      <c r="BF161" s="130">
        <f t="shared" si="160"/>
        <v>2.5408455951784585</v>
      </c>
      <c r="BG161" s="137">
        <f t="shared" si="161"/>
        <v>0.38335905370495743</v>
      </c>
      <c r="BH161" s="47"/>
      <c r="BI161" s="47"/>
      <c r="BJ161" s="47"/>
    </row>
    <row r="162" spans="1:62" ht="16.5" thickBot="1">
      <c r="A162" s="108">
        <f>IF(Data!A162&gt;0,Data!A162,"")</f>
        <v>142</v>
      </c>
      <c r="B162" s="109">
        <f>IF(A162&gt;0,IF(Data!$F$5="lb",Data!B162/2.204,Data!B162),"")</f>
        <v>27.144239948362706</v>
      </c>
      <c r="C162" s="109">
        <f>IF(A162&gt;0,Data!C162,"")</f>
        <v>0.11610322445631027</v>
      </c>
      <c r="D162" s="110">
        <f>IF(A162&gt;0,Data!D162,"")</f>
        <v>27.44150161743164</v>
      </c>
      <c r="E162" s="143">
        <f t="shared" si="111"/>
        <v>-0.28142216248201934</v>
      </c>
      <c r="F162" s="144">
        <f t="shared" si="112"/>
        <v>19.356711668326877</v>
      </c>
      <c r="G162" s="145">
        <f t="shared" si="113"/>
        <v>-8.142841561332919</v>
      </c>
      <c r="H162" s="111">
        <f>IF(A162&gt;0,IF(Data!$F$4="F",(Data!F162-32)/1.8,Data!F162),"")</f>
        <v>117.44412740071614</v>
      </c>
      <c r="I162" s="123">
        <f>IF(A162&gt;0,IF(Data!$F$4="F",(Data!G162-32)/1.8,Data!G162),"")</f>
        <v>27.010693020290798</v>
      </c>
      <c r="J162" s="136">
        <f t="shared" si="114"/>
        <v>0.9954760237731487</v>
      </c>
      <c r="K162" s="128">
        <f t="shared" si="115"/>
        <v>0.8679723605618952</v>
      </c>
      <c r="L162" s="128">
        <f t="shared" si="116"/>
        <v>0.8640456742371491</v>
      </c>
      <c r="M162" s="155">
        <f t="shared" si="117"/>
        <v>4.463372536569534</v>
      </c>
      <c r="N162" s="130">
        <f t="shared" si="118"/>
        <v>27.144239948362706</v>
      </c>
      <c r="O162" s="130">
        <f t="shared" si="119"/>
        <v>76.81525932173639</v>
      </c>
      <c r="P162" s="130">
        <f t="shared" si="109"/>
        <v>25.21249368579116</v>
      </c>
      <c r="Q162" s="130">
        <f t="shared" si="120"/>
        <v>73.35794131377784</v>
      </c>
      <c r="R162" s="129">
        <f t="shared" si="144"/>
        <v>8576.157234516424</v>
      </c>
      <c r="S162" s="130">
        <f t="shared" si="121"/>
        <v>4.166666666666667</v>
      </c>
      <c r="T162" s="130">
        <f t="shared" si="122"/>
        <v>6.6</v>
      </c>
      <c r="U162" s="134">
        <f t="shared" si="145"/>
        <v>2.68125</v>
      </c>
      <c r="V162" s="130">
        <f t="shared" si="123"/>
        <v>19887</v>
      </c>
      <c r="W162" s="130">
        <f t="shared" si="124"/>
        <v>19.17</v>
      </c>
      <c r="X162" s="130">
        <f t="shared" si="125"/>
        <v>80.58523671944496</v>
      </c>
      <c r="Y162" s="130">
        <f t="shared" si="126"/>
        <v>21.375394355290442</v>
      </c>
      <c r="Z162" s="130">
        <f t="shared" si="127"/>
        <v>6.62094660241086</v>
      </c>
      <c r="AA162" s="130">
        <f t="shared" si="128"/>
        <v>21.789778451641237</v>
      </c>
      <c r="AB162" s="130">
        <f t="shared" si="129"/>
        <v>0.029672668157299853</v>
      </c>
      <c r="AC162" s="130">
        <f t="shared" si="130"/>
        <v>0.6587841869398805</v>
      </c>
      <c r="AD162" s="130">
        <f t="shared" si="131"/>
        <v>41.65476670728878</v>
      </c>
      <c r="AE162" s="130">
        <f t="shared" si="132"/>
        <v>-12.360408344282284</v>
      </c>
      <c r="AF162" s="130">
        <f t="shared" si="133"/>
        <v>0.1762386328603629</v>
      </c>
      <c r="AG162" s="130">
        <f t="shared" si="134"/>
        <v>0.04504156102339434</v>
      </c>
      <c r="AH162" s="130">
        <f t="shared" si="135"/>
        <v>122.32418190511156</v>
      </c>
      <c r="AI162" s="130">
        <f t="shared" si="136"/>
        <v>33.07574602368186</v>
      </c>
      <c r="AJ162" s="130">
        <f t="shared" si="137"/>
        <v>13.175906470369913</v>
      </c>
      <c r="AK162" s="130">
        <f t="shared" si="146"/>
        <v>390.5941274007161</v>
      </c>
      <c r="AL162" s="130">
        <f t="shared" si="138"/>
        <v>3577.1799471175964</v>
      </c>
      <c r="AM162" s="130">
        <f t="shared" si="139"/>
        <v>2703.091227841327</v>
      </c>
      <c r="AN162" s="130">
        <f t="shared" si="140"/>
        <v>2631.2614706725294</v>
      </c>
      <c r="AO162" s="130">
        <f t="shared" si="141"/>
        <v>2601.529349062273</v>
      </c>
      <c r="AP162" s="130">
        <f t="shared" si="142"/>
        <v>3419.481226754994</v>
      </c>
      <c r="AQ162" s="130">
        <f t="shared" si="143"/>
        <v>3149.5841128740876</v>
      </c>
      <c r="AR162" s="130">
        <f t="shared" si="147"/>
        <v>300.16069302029075</v>
      </c>
      <c r="AS162" s="130">
        <f t="shared" si="148"/>
        <v>149.00659616717508</v>
      </c>
      <c r="AT162" s="130">
        <f t="shared" si="149"/>
        <v>-33.411311367966185</v>
      </c>
      <c r="AU162" s="130">
        <f t="shared" si="150"/>
        <v>50.33802935334216</v>
      </c>
      <c r="AV162" s="130">
        <f t="shared" si="151"/>
        <v>318.22994932617996</v>
      </c>
      <c r="AW162" s="130">
        <f t="shared" si="152"/>
        <v>40.24803456668385</v>
      </c>
      <c r="AX162" s="130">
        <f t="shared" si="153"/>
        <v>1558.4823211129142</v>
      </c>
      <c r="AY162" s="130">
        <f t="shared" si="154"/>
        <v>620.8300572874867</v>
      </c>
      <c r="AZ162" s="130">
        <f t="shared" si="155"/>
        <v>2703.7236764458157</v>
      </c>
      <c r="BA162" s="130">
        <f t="shared" si="156"/>
        <v>1165.9656744548763</v>
      </c>
      <c r="BB162" s="130">
        <f t="shared" si="157"/>
        <v>38.79823787312068</v>
      </c>
      <c r="BC162" s="130">
        <f t="shared" si="158"/>
        <v>1127.1674365817557</v>
      </c>
      <c r="BD162" s="129">
        <f t="shared" si="159"/>
        <v>7410.1915600615475</v>
      </c>
      <c r="BE162" s="129">
        <f t="shared" si="110"/>
        <v>35.153353738461774</v>
      </c>
      <c r="BF162" s="130">
        <f t="shared" si="160"/>
        <v>2.128053820776748</v>
      </c>
      <c r="BG162" s="137">
        <f t="shared" si="161"/>
        <v>0.310782729964054</v>
      </c>
      <c r="BH162" s="47"/>
      <c r="BI162" s="47"/>
      <c r="BJ162" s="47"/>
    </row>
    <row r="163" spans="1:62" ht="16.5" thickBot="1">
      <c r="A163" s="108">
        <f>IF(Data!A163&gt;0,Data!A163,"")</f>
        <v>143</v>
      </c>
      <c r="B163" s="109">
        <f>IF(A163&gt;0,IF(Data!$F$5="lb",Data!B163/2.204,Data!B163),"")</f>
        <v>26.62469168107436</v>
      </c>
      <c r="C163" s="109">
        <f>IF(A163&gt;0,Data!C163,"")</f>
        <v>0.11073879897594452</v>
      </c>
      <c r="D163" s="110">
        <f>IF(A163&gt;0,Data!D163,"")</f>
        <v>27.44159507751465</v>
      </c>
      <c r="E163" s="143">
        <f t="shared" si="111"/>
        <v>-0.2812846932231956</v>
      </c>
      <c r="F163" s="144">
        <f t="shared" si="112"/>
        <v>19.357014505168404</v>
      </c>
      <c r="G163" s="145">
        <f t="shared" si="113"/>
        <v>-8.139949971834216</v>
      </c>
      <c r="H163" s="111">
        <f>IF(A163&gt;0,IF(Data!$F$4="F",(Data!F163-32)/1.8,Data!F163),"")</f>
        <v>116.40416463216145</v>
      </c>
      <c r="I163" s="123">
        <f>IF(A163&gt;0,IF(Data!$F$4="F",(Data!G163-32)/1.8,Data!G163),"")</f>
        <v>27.151959737141926</v>
      </c>
      <c r="J163" s="136">
        <f t="shared" si="114"/>
        <v>0.995643761951446</v>
      </c>
      <c r="K163" s="128">
        <f t="shared" si="115"/>
        <v>0.8683714629022469</v>
      </c>
      <c r="L163" s="128">
        <f t="shared" si="116"/>
        <v>0.8645886300952736</v>
      </c>
      <c r="M163" s="155">
        <f t="shared" si="117"/>
        <v>4.464483135420507</v>
      </c>
      <c r="N163" s="130">
        <f t="shared" si="118"/>
        <v>26.62469168107436</v>
      </c>
      <c r="O163" s="130">
        <f t="shared" si="119"/>
        <v>77.25902167683775</v>
      </c>
      <c r="P163" s="130">
        <f t="shared" si="109"/>
        <v>24.740735277850163</v>
      </c>
      <c r="Q163" s="130">
        <f t="shared" si="120"/>
        <v>73.85644873421464</v>
      </c>
      <c r="R163" s="129">
        <f t="shared" si="144"/>
        <v>8686.197371527283</v>
      </c>
      <c r="S163" s="130">
        <f t="shared" si="121"/>
        <v>4.166666666666667</v>
      </c>
      <c r="T163" s="130">
        <f t="shared" si="122"/>
        <v>6.6</v>
      </c>
      <c r="U163" s="134">
        <f t="shared" si="145"/>
        <v>2.68125</v>
      </c>
      <c r="V163" s="130">
        <f t="shared" si="123"/>
        <v>19887</v>
      </c>
      <c r="W163" s="130">
        <f t="shared" si="124"/>
        <v>19.17</v>
      </c>
      <c r="X163" s="130">
        <f t="shared" si="125"/>
        <v>80.58761609534362</v>
      </c>
      <c r="Y163" s="130">
        <f t="shared" si="126"/>
        <v>21.376025489481066</v>
      </c>
      <c r="Z163" s="130">
        <f t="shared" si="127"/>
        <v>6.619494997702084</v>
      </c>
      <c r="AA163" s="130">
        <f t="shared" si="128"/>
        <v>21.786542931214026</v>
      </c>
      <c r="AB163" s="130">
        <f t="shared" si="129"/>
        <v>0.0288952806014251</v>
      </c>
      <c r="AC163" s="130">
        <f t="shared" si="130"/>
        <v>0.6586397522713574</v>
      </c>
      <c r="AD163" s="130">
        <f t="shared" si="131"/>
        <v>41.664043178202824</v>
      </c>
      <c r="AE163" s="130">
        <f t="shared" si="132"/>
        <v>-12.358728643030013</v>
      </c>
      <c r="AF163" s="130">
        <f t="shared" si="133"/>
        <v>0.16813257716992536</v>
      </c>
      <c r="AG163" s="130">
        <f t="shared" si="134"/>
        <v>0.04387114579977605</v>
      </c>
      <c r="AH163" s="130">
        <f t="shared" si="135"/>
        <v>122.35461922459515</v>
      </c>
      <c r="AI163" s="130">
        <f t="shared" si="136"/>
        <v>33.07808685412909</v>
      </c>
      <c r="AJ163" s="130">
        <f t="shared" si="137"/>
        <v>13.175906470369913</v>
      </c>
      <c r="AK163" s="130">
        <f t="shared" si="146"/>
        <v>389.5541646321614</v>
      </c>
      <c r="AL163" s="130">
        <f t="shared" si="138"/>
        <v>3529.2922449231273</v>
      </c>
      <c r="AM163" s="130">
        <f t="shared" si="139"/>
        <v>2667.4228622197325</v>
      </c>
      <c r="AN163" s="130">
        <f t="shared" si="140"/>
        <v>2596.6676938073415</v>
      </c>
      <c r="AO163" s="130">
        <f t="shared" si="141"/>
        <v>2567.299866031699</v>
      </c>
      <c r="AP163" s="130">
        <f t="shared" si="142"/>
        <v>3372.570521104113</v>
      </c>
      <c r="AQ163" s="130">
        <f t="shared" si="143"/>
        <v>3108.2160641022824</v>
      </c>
      <c r="AR163" s="130">
        <f t="shared" si="147"/>
        <v>300.3019597371419</v>
      </c>
      <c r="AS163" s="130">
        <f t="shared" si="148"/>
        <v>147.04458448097355</v>
      </c>
      <c r="AT163" s="130">
        <f t="shared" si="149"/>
        <v>-32.965955330388105</v>
      </c>
      <c r="AU163" s="130">
        <f t="shared" si="150"/>
        <v>48.016926842462404</v>
      </c>
      <c r="AV163" s="130">
        <f t="shared" si="151"/>
        <v>314.12099754366267</v>
      </c>
      <c r="AW163" s="130">
        <f t="shared" si="152"/>
        <v>39.20012219359684</v>
      </c>
      <c r="AX163" s="130">
        <f t="shared" si="153"/>
        <v>1557.224241818977</v>
      </c>
      <c r="AY163" s="130">
        <f t="shared" si="154"/>
        <v>620.2849957460078</v>
      </c>
      <c r="AZ163" s="130">
        <f t="shared" si="155"/>
        <v>2692.925913295292</v>
      </c>
      <c r="BA163" s="130">
        <f t="shared" si="156"/>
        <v>1176.2098853413424</v>
      </c>
      <c r="BB163" s="130">
        <f t="shared" si="157"/>
        <v>37.83905086756358</v>
      </c>
      <c r="BC163" s="130">
        <f t="shared" si="158"/>
        <v>1138.3708344737788</v>
      </c>
      <c r="BD163" s="129">
        <f t="shared" si="159"/>
        <v>7509.987486185941</v>
      </c>
      <c r="BE163" s="129">
        <f t="shared" si="110"/>
        <v>40.86961314027393</v>
      </c>
      <c r="BF163" s="130">
        <f t="shared" si="160"/>
        <v>2.0562235126807655</v>
      </c>
      <c r="BG163" s="137">
        <f t="shared" si="161"/>
        <v>0.3065909841258349</v>
      </c>
      <c r="BH163" s="47"/>
      <c r="BI163" s="47"/>
      <c r="BJ163" s="47"/>
    </row>
    <row r="164" spans="1:62" ht="16.5" thickBot="1">
      <c r="A164" s="108">
        <f>IF(Data!A164&gt;0,Data!A164,"")</f>
        <v>144</v>
      </c>
      <c r="B164" s="109">
        <f>IF(A164&gt;0,IF(Data!$F$5="lb",Data!B164/2.204,Data!B164),"")</f>
        <v>26.182610845825415</v>
      </c>
      <c r="C164" s="109">
        <f>IF(A164&gt;0,Data!C164,"")</f>
        <v>0.08962246775627136</v>
      </c>
      <c r="D164" s="110">
        <f>IF(A164&gt;0,Data!D164,"")</f>
        <v>27.441442489624023</v>
      </c>
      <c r="E164" s="143">
        <f t="shared" si="111"/>
        <v>-0.28072945506779434</v>
      </c>
      <c r="F164" s="144">
        <f t="shared" si="112"/>
        <v>19.358236484787014</v>
      </c>
      <c r="G164" s="145">
        <f t="shared" si="113"/>
        <v>-8.128017238715145</v>
      </c>
      <c r="H164" s="111">
        <f>IF(A164&gt;0,IF(Data!$F$4="F",(Data!F164-32)/1.8,Data!F164),"")</f>
        <v>115.84218343098958</v>
      </c>
      <c r="I164" s="123">
        <f>IF(A164&gt;0,IF(Data!$F$4="F",(Data!G164-32)/1.8,Data!G164),"")</f>
        <v>26.937683953179253</v>
      </c>
      <c r="J164" s="136">
        <f t="shared" si="114"/>
        <v>0.9963047454605299</v>
      </c>
      <c r="K164" s="128">
        <f t="shared" si="115"/>
        <v>0.8685348745510417</v>
      </c>
      <c r="L164" s="128">
        <f t="shared" si="116"/>
        <v>0.865325417113169</v>
      </c>
      <c r="M164" s="155">
        <f t="shared" si="117"/>
        <v>4.468942482620259</v>
      </c>
      <c r="N164" s="130">
        <f t="shared" si="118"/>
        <v>26.182610845825415</v>
      </c>
      <c r="O164" s="130">
        <f t="shared" si="119"/>
        <v>77.63661668570793</v>
      </c>
      <c r="P164" s="130">
        <f t="shared" si="109"/>
        <v>24.338938361053664</v>
      </c>
      <c r="Q164" s="130">
        <f t="shared" si="120"/>
        <v>74.2810278008727</v>
      </c>
      <c r="R164" s="129">
        <f t="shared" si="144"/>
        <v>7816.3949168333</v>
      </c>
      <c r="S164" s="130">
        <f t="shared" si="121"/>
        <v>4.166666666666667</v>
      </c>
      <c r="T164" s="130">
        <f t="shared" si="122"/>
        <v>6.6</v>
      </c>
      <c r="U164" s="134">
        <f t="shared" si="145"/>
        <v>2.68125</v>
      </c>
      <c r="V164" s="130">
        <f t="shared" si="123"/>
        <v>19887</v>
      </c>
      <c r="W164" s="130">
        <f t="shared" si="124"/>
        <v>19.17</v>
      </c>
      <c r="X164" s="130">
        <f t="shared" si="125"/>
        <v>80.59695228133485</v>
      </c>
      <c r="Y164" s="130">
        <f t="shared" si="126"/>
        <v>21.378501931388556</v>
      </c>
      <c r="Z164" s="130">
        <f t="shared" si="127"/>
        <v>6.613655827801135</v>
      </c>
      <c r="AA164" s="130">
        <f t="shared" si="128"/>
        <v>21.773395581494874</v>
      </c>
      <c r="AB164" s="130">
        <f t="shared" si="129"/>
        <v>0.02583432512443551</v>
      </c>
      <c r="AC164" s="130">
        <f t="shared" si="130"/>
        <v>0.658058754866213</v>
      </c>
      <c r="AD164" s="130">
        <f t="shared" si="131"/>
        <v>41.7005963171222</v>
      </c>
      <c r="AE164" s="130">
        <f t="shared" si="132"/>
        <v>-12.351506880821935</v>
      </c>
      <c r="AF164" s="130">
        <f t="shared" si="133"/>
        <v>0.13619219726738854</v>
      </c>
      <c r="AG164" s="130">
        <f t="shared" si="134"/>
        <v>0.03925838678293669</v>
      </c>
      <c r="AH164" s="130">
        <f t="shared" si="135"/>
        <v>122.47683308722283</v>
      </c>
      <c r="AI164" s="130">
        <f t="shared" si="136"/>
        <v>33.08731237216276</v>
      </c>
      <c r="AJ164" s="130">
        <f t="shared" si="137"/>
        <v>13.175906470369913</v>
      </c>
      <c r="AK164" s="130">
        <f t="shared" si="146"/>
        <v>388.99218343098954</v>
      </c>
      <c r="AL164" s="130">
        <f t="shared" si="138"/>
        <v>3514.542274869885</v>
      </c>
      <c r="AM164" s="130">
        <f t="shared" si="139"/>
        <v>2656.72065820983</v>
      </c>
      <c r="AN164" s="130">
        <f t="shared" si="140"/>
        <v>2586.3584568043543</v>
      </c>
      <c r="AO164" s="130">
        <f t="shared" si="141"/>
        <v>2557.084335297256</v>
      </c>
      <c r="AP164" s="130">
        <f t="shared" si="142"/>
        <v>3357.499429735346</v>
      </c>
      <c r="AQ164" s="130">
        <f t="shared" si="143"/>
        <v>3095.9105053649414</v>
      </c>
      <c r="AR164" s="130">
        <f t="shared" si="147"/>
        <v>300.08768395317924</v>
      </c>
      <c r="AS164" s="130">
        <f t="shared" si="148"/>
        <v>146.5585086438094</v>
      </c>
      <c r="AT164" s="130">
        <f t="shared" si="149"/>
        <v>-32.8145034903005</v>
      </c>
      <c r="AU164" s="130">
        <f t="shared" si="150"/>
        <v>38.893680322443366</v>
      </c>
      <c r="AV164" s="130">
        <f t="shared" si="151"/>
        <v>313.1835913241542</v>
      </c>
      <c r="AW164" s="130">
        <f t="shared" si="152"/>
        <v>35.07789855638783</v>
      </c>
      <c r="AX164" s="130">
        <f t="shared" si="153"/>
        <v>1557.2513956588948</v>
      </c>
      <c r="AY164" s="130">
        <f t="shared" si="154"/>
        <v>620.1228588550189</v>
      </c>
      <c r="AZ164" s="130">
        <f t="shared" si="155"/>
        <v>2678.273429870408</v>
      </c>
      <c r="BA164" s="130">
        <f t="shared" si="156"/>
        <v>1052.6697251032708</v>
      </c>
      <c r="BB164" s="130">
        <f t="shared" si="157"/>
        <v>28.883493095782285</v>
      </c>
      <c r="BC164" s="130">
        <f t="shared" si="158"/>
        <v>1023.7862320074885</v>
      </c>
      <c r="BD164" s="129">
        <f t="shared" si="159"/>
        <v>6763.725191730029</v>
      </c>
      <c r="BE164" s="129">
        <f t="shared" si="110"/>
        <v>29.527061782223754</v>
      </c>
      <c r="BF164" s="130">
        <f t="shared" si="160"/>
        <v>1.498813091774972</v>
      </c>
      <c r="BG164" s="137">
        <f t="shared" si="161"/>
        <v>0.246882127937424</v>
      </c>
      <c r="BH164" s="47"/>
      <c r="BI164" s="47"/>
      <c r="BJ164" s="47"/>
    </row>
    <row r="165" spans="1:62" ht="16.5" thickBot="1">
      <c r="A165" s="108">
        <f>IF(Data!A165&gt;0,Data!A165,"")</f>
        <v>145</v>
      </c>
      <c r="B165" s="109">
        <f>IF(A165&gt;0,IF(Data!$F$5="lb",Data!B165/2.204,Data!B165),"")</f>
        <v>25.76015562414041</v>
      </c>
      <c r="C165" s="109">
        <f>IF(A165&gt;0,Data!C165,"")</f>
        <v>0.07094451785087585</v>
      </c>
      <c r="D165" s="110">
        <f>IF(A165&gt;0,Data!D165,"")</f>
        <v>27.44162368774414</v>
      </c>
      <c r="E165" s="143">
        <f t="shared" si="111"/>
        <v>-0.2802458881162595</v>
      </c>
      <c r="F165" s="144">
        <f t="shared" si="112"/>
        <v>19.35929919293758</v>
      </c>
      <c r="G165" s="145">
        <f t="shared" si="113"/>
        <v>-8.117796753731998</v>
      </c>
      <c r="H165" s="111">
        <f>IF(A165&gt;0,IF(Data!$F$4="F",(Data!F165-32)/1.8,Data!F165),"")</f>
        <v>115.27117411295572</v>
      </c>
      <c r="I165" s="123">
        <f>IF(A165&gt;0,IF(Data!$F$4="F",(Data!G165-32)/1.8,Data!G165),"")</f>
        <v>27.07162645128038</v>
      </c>
      <c r="J165" s="136">
        <f t="shared" si="114"/>
        <v>0.9968903758610324</v>
      </c>
      <c r="K165" s="128">
        <f t="shared" si="115"/>
        <v>0.8688071851940589</v>
      </c>
      <c r="L165" s="128">
        <f t="shared" si="116"/>
        <v>0.8661055213988709</v>
      </c>
      <c r="M165" s="155">
        <f t="shared" si="117"/>
        <v>4.472843024076895</v>
      </c>
      <c r="N165" s="130">
        <f t="shared" si="118"/>
        <v>25.76015562414041</v>
      </c>
      <c r="O165" s="130">
        <f t="shared" si="119"/>
        <v>77.99744884684334</v>
      </c>
      <c r="P165" s="130">
        <f t="shared" si="109"/>
        <v>23.95465442937294</v>
      </c>
      <c r="Q165" s="130">
        <f t="shared" si="120"/>
        <v>74.68710088462244</v>
      </c>
      <c r="R165" s="129">
        <f t="shared" si="144"/>
        <v>7941.609162496935</v>
      </c>
      <c r="S165" s="130">
        <f t="shared" si="121"/>
        <v>4.166666666666667</v>
      </c>
      <c r="T165" s="130">
        <f t="shared" si="122"/>
        <v>6.6</v>
      </c>
      <c r="U165" s="134">
        <f t="shared" si="145"/>
        <v>2.68125</v>
      </c>
      <c r="V165" s="130">
        <f t="shared" si="123"/>
        <v>19887</v>
      </c>
      <c r="W165" s="130">
        <f t="shared" si="124"/>
        <v>19.17</v>
      </c>
      <c r="X165" s="130">
        <f t="shared" si="125"/>
        <v>80.60522854813698</v>
      </c>
      <c r="Y165" s="130">
        <f t="shared" si="126"/>
        <v>21.38069722762254</v>
      </c>
      <c r="Z165" s="130">
        <f t="shared" si="127"/>
        <v>6.608566936017731</v>
      </c>
      <c r="AA165" s="130">
        <f t="shared" si="128"/>
        <v>21.76201616656745</v>
      </c>
      <c r="AB165" s="130">
        <f t="shared" si="129"/>
        <v>0.023127361145530045</v>
      </c>
      <c r="AC165" s="130">
        <f t="shared" si="130"/>
        <v>0.6575524101337642</v>
      </c>
      <c r="AD165" s="130">
        <f t="shared" si="131"/>
        <v>41.73298320382061</v>
      </c>
      <c r="AE165" s="130">
        <f t="shared" si="132"/>
        <v>-12.345474868049857</v>
      </c>
      <c r="AF165" s="130">
        <f t="shared" si="133"/>
        <v>0.10789180718909355</v>
      </c>
      <c r="AG165" s="130">
        <f t="shared" si="134"/>
        <v>0.035171890162831745</v>
      </c>
      <c r="AH165" s="130">
        <f t="shared" si="135"/>
        <v>122.58373219518678</v>
      </c>
      <c r="AI165" s="130">
        <f t="shared" si="136"/>
        <v>33.09548536540298</v>
      </c>
      <c r="AJ165" s="130">
        <f t="shared" si="137"/>
        <v>13.175906470369913</v>
      </c>
      <c r="AK165" s="130">
        <f t="shared" si="146"/>
        <v>388.42117411295567</v>
      </c>
      <c r="AL165" s="130">
        <f t="shared" si="138"/>
        <v>3486.1153988242945</v>
      </c>
      <c r="AM165" s="130">
        <f t="shared" si="139"/>
        <v>2635.4812112710447</v>
      </c>
      <c r="AN165" s="130">
        <f t="shared" si="140"/>
        <v>2565.742467415082</v>
      </c>
      <c r="AO165" s="130">
        <f t="shared" si="141"/>
        <v>2536.6889049214947</v>
      </c>
      <c r="AP165" s="130">
        <f t="shared" si="142"/>
        <v>3329.797383145382</v>
      </c>
      <c r="AQ165" s="130">
        <f t="shared" si="143"/>
        <v>3071.252189619158</v>
      </c>
      <c r="AR165" s="130">
        <f t="shared" si="147"/>
        <v>300.2216264512804</v>
      </c>
      <c r="AS165" s="130">
        <f t="shared" si="148"/>
        <v>145.48599538571466</v>
      </c>
      <c r="AT165" s="130">
        <f t="shared" si="149"/>
        <v>-32.53626705896428</v>
      </c>
      <c r="AU165" s="130">
        <f t="shared" si="150"/>
        <v>30.809448783454368</v>
      </c>
      <c r="AV165" s="130">
        <f t="shared" si="151"/>
        <v>310.9567933833981</v>
      </c>
      <c r="AW165" s="130">
        <f t="shared" si="152"/>
        <v>31.425584327610128</v>
      </c>
      <c r="AX165" s="130">
        <f t="shared" si="153"/>
        <v>1556.8199779264064</v>
      </c>
      <c r="AY165" s="130">
        <f t="shared" si="154"/>
        <v>619.7979631930357</v>
      </c>
      <c r="AZ165" s="130">
        <f t="shared" si="155"/>
        <v>2662.759495940655</v>
      </c>
      <c r="BA165" s="130">
        <f t="shared" si="156"/>
        <v>1063.337618066477</v>
      </c>
      <c r="BB165" s="130">
        <f t="shared" si="157"/>
        <v>24.69534951658791</v>
      </c>
      <c r="BC165" s="130">
        <f t="shared" si="158"/>
        <v>1038.6422685498892</v>
      </c>
      <c r="BD165" s="129">
        <f t="shared" si="159"/>
        <v>6878.271544430458</v>
      </c>
      <c r="BE165" s="129">
        <f t="shared" si="110"/>
        <v>23.764539222745732</v>
      </c>
      <c r="BF165" s="130">
        <f t="shared" si="160"/>
        <v>1.2063844625572095</v>
      </c>
      <c r="BG165" s="137">
        <f t="shared" si="161"/>
        <v>0.2247268307372498</v>
      </c>
      <c r="BH165" s="47"/>
      <c r="BI165" s="47"/>
      <c r="BJ165" s="47"/>
    </row>
    <row r="166" spans="1:62" ht="16.5" thickBot="1">
      <c r="A166" s="108">
        <f>IF(Data!A166&gt;0,Data!A166,"")</f>
        <v>146</v>
      </c>
      <c r="B166" s="109">
        <f>IF(A166&gt;0,IF(Data!$F$5="lb",Data!B166/2.204,Data!B166),"")</f>
        <v>25.304991623450967</v>
      </c>
      <c r="C166" s="109">
        <f>IF(A166&gt;0,Data!C166,"")</f>
        <v>0.06287349760532379</v>
      </c>
      <c r="D166" s="110">
        <f>IF(A166&gt;0,Data!D166,"")</f>
        <v>27.441471099853516</v>
      </c>
      <c r="E166" s="143">
        <f t="shared" si="111"/>
        <v>-0.28003068663237907</v>
      </c>
      <c r="F166" s="144">
        <f t="shared" si="112"/>
        <v>19.35977167024034</v>
      </c>
      <c r="G166" s="145">
        <f t="shared" si="113"/>
        <v>-8.113136178415836</v>
      </c>
      <c r="H166" s="111">
        <f>IF(A166&gt;0,IF(Data!$F$4="F",(Data!F166-32)/1.8,Data!F166),"")</f>
        <v>114.72406175401476</v>
      </c>
      <c r="I166" s="123">
        <f>IF(A166&gt;0,IF(Data!$F$4="F",(Data!G166-32)/1.8,Data!G166),"")</f>
        <v>27.184371948242188</v>
      </c>
      <c r="J166" s="136">
        <f t="shared" si="114"/>
        <v>0.9971437170775138</v>
      </c>
      <c r="K166" s="128">
        <f t="shared" si="115"/>
        <v>0.869040906673153</v>
      </c>
      <c r="L166" s="128">
        <f t="shared" si="116"/>
        <v>0.8665586799724805</v>
      </c>
      <c r="M166" s="155">
        <f t="shared" si="117"/>
        <v>4.4745672238796805</v>
      </c>
      <c r="N166" s="130">
        <f t="shared" si="118"/>
        <v>25.304991623450967</v>
      </c>
      <c r="O166" s="130">
        <f t="shared" si="119"/>
        <v>78.3862185947582</v>
      </c>
      <c r="P166" s="130">
        <f t="shared" si="109"/>
        <v>23.54026493997487</v>
      </c>
      <c r="Q166" s="130">
        <f t="shared" si="120"/>
        <v>75.12498653104379</v>
      </c>
      <c r="R166" s="129">
        <f t="shared" si="144"/>
        <v>8022.999215351168</v>
      </c>
      <c r="S166" s="130">
        <f t="shared" si="121"/>
        <v>4.166666666666667</v>
      </c>
      <c r="T166" s="130">
        <f t="shared" si="122"/>
        <v>6.6</v>
      </c>
      <c r="U166" s="134">
        <f t="shared" si="145"/>
        <v>2.68125</v>
      </c>
      <c r="V166" s="130">
        <f t="shared" si="123"/>
        <v>19887</v>
      </c>
      <c r="W166" s="130">
        <f t="shared" si="124"/>
        <v>19.17</v>
      </c>
      <c r="X166" s="130">
        <f t="shared" si="125"/>
        <v>80.60879158095699</v>
      </c>
      <c r="Y166" s="130">
        <f t="shared" si="126"/>
        <v>21.38164232916631</v>
      </c>
      <c r="Z166" s="130">
        <f t="shared" si="127"/>
        <v>6.606312444232124</v>
      </c>
      <c r="AA166" s="130">
        <f t="shared" si="128"/>
        <v>21.756916558949314</v>
      </c>
      <c r="AB166" s="130">
        <f t="shared" si="129"/>
        <v>0.021957253508347208</v>
      </c>
      <c r="AC166" s="130">
        <f t="shared" si="130"/>
        <v>0.6573280882010963</v>
      </c>
      <c r="AD166" s="130">
        <f t="shared" si="131"/>
        <v>41.74699300459278</v>
      </c>
      <c r="AE166" s="130">
        <f t="shared" si="132"/>
        <v>-12.342597743873961</v>
      </c>
      <c r="AF166" s="130">
        <f t="shared" si="133"/>
        <v>0.0956501003591511</v>
      </c>
      <c r="AG166" s="130">
        <f t="shared" si="134"/>
        <v>0.03340379622060183</v>
      </c>
      <c r="AH166" s="130">
        <f t="shared" si="135"/>
        <v>122.63098599902877</v>
      </c>
      <c r="AI166" s="130">
        <f t="shared" si="136"/>
        <v>33.099021553287436</v>
      </c>
      <c r="AJ166" s="130">
        <f t="shared" si="137"/>
        <v>13.175906470369913</v>
      </c>
      <c r="AK166" s="130">
        <f t="shared" si="146"/>
        <v>387.87406175401475</v>
      </c>
      <c r="AL166" s="130">
        <f t="shared" si="138"/>
        <v>3459.4829525786986</v>
      </c>
      <c r="AM166" s="130">
        <f t="shared" si="139"/>
        <v>2615.592960014256</v>
      </c>
      <c r="AN166" s="130">
        <f t="shared" si="140"/>
        <v>2546.440602366829</v>
      </c>
      <c r="AO166" s="130">
        <f t="shared" si="141"/>
        <v>2517.5929944733384</v>
      </c>
      <c r="AP166" s="130">
        <f t="shared" si="142"/>
        <v>3303.8210890267665</v>
      </c>
      <c r="AQ166" s="130">
        <f t="shared" si="143"/>
        <v>3048.166492830716</v>
      </c>
      <c r="AR166" s="130">
        <f t="shared" si="147"/>
        <v>300.33437194824216</v>
      </c>
      <c r="AS166" s="130">
        <f t="shared" si="148"/>
        <v>144.4230106208109</v>
      </c>
      <c r="AT166" s="130">
        <f t="shared" si="149"/>
        <v>-32.283211767164566</v>
      </c>
      <c r="AU166" s="130">
        <f t="shared" si="150"/>
        <v>27.31187615011225</v>
      </c>
      <c r="AV166" s="130">
        <f t="shared" si="151"/>
        <v>308.7349112565129</v>
      </c>
      <c r="AW166" s="130">
        <f t="shared" si="152"/>
        <v>29.844949794953216</v>
      </c>
      <c r="AX166" s="130">
        <f t="shared" si="153"/>
        <v>1556.2222071207077</v>
      </c>
      <c r="AY166" s="130">
        <f t="shared" si="154"/>
        <v>619.4937882113477</v>
      </c>
      <c r="AZ166" s="130">
        <f t="shared" si="155"/>
        <v>2653.74753138728</v>
      </c>
      <c r="BA166" s="130">
        <f t="shared" si="156"/>
        <v>1070.599605876213</v>
      </c>
      <c r="BB166" s="130">
        <f t="shared" si="157"/>
        <v>22.91588789753958</v>
      </c>
      <c r="BC166" s="130">
        <f t="shared" si="158"/>
        <v>1047.6837179786735</v>
      </c>
      <c r="BD166" s="129">
        <f t="shared" si="159"/>
        <v>6952.399609474955</v>
      </c>
      <c r="BE166" s="129">
        <f t="shared" si="110"/>
        <v>23.538524097243613</v>
      </c>
      <c r="BF166" s="130">
        <f t="shared" si="160"/>
        <v>1.0804655827240124</v>
      </c>
      <c r="BG166" s="137">
        <f t="shared" si="161"/>
        <v>0.21561714154383368</v>
      </c>
      <c r="BH166" s="47"/>
      <c r="BI166" s="47"/>
      <c r="BJ166" s="47"/>
    </row>
    <row r="167" spans="1:62" ht="16.5" thickBot="1">
      <c r="A167" s="108">
        <f>IF(Data!A167&gt;0,Data!A167,"")</f>
        <v>147</v>
      </c>
      <c r="B167" s="109">
        <f>IF(A167&gt;0,IF(Data!$F$5="lb",Data!B167/2.204,Data!B167),"")</f>
        <v>24.87427180129257</v>
      </c>
      <c r="C167" s="109">
        <f>IF(A167&gt;0,Data!C167,"")</f>
        <v>0.06286130845546722</v>
      </c>
      <c r="D167" s="110">
        <f>IF(A167&gt;0,Data!D167,"")</f>
        <v>27.441532135009766</v>
      </c>
      <c r="E167" s="143">
        <f t="shared" si="111"/>
        <v>-0.28003196525085705</v>
      </c>
      <c r="F167" s="144">
        <f t="shared" si="112"/>
        <v>19.359768863853052</v>
      </c>
      <c r="G167" s="145">
        <f t="shared" si="113"/>
        <v>-8.113193925384447</v>
      </c>
      <c r="H167" s="111">
        <f>IF(A167&gt;0,IF(Data!$F$4="F",(Data!F167-32)/1.8,Data!F167),"")</f>
        <v>114.13406372070312</v>
      </c>
      <c r="I167" s="123">
        <f>IF(A167&gt;0,IF(Data!$F$4="F",(Data!G167-32)/1.8,Data!G167),"")</f>
        <v>26.864568922254772</v>
      </c>
      <c r="J167" s="136">
        <f t="shared" si="114"/>
        <v>0.9971440991662005</v>
      </c>
      <c r="K167" s="128">
        <f t="shared" si="115"/>
        <v>0.8691327520552768</v>
      </c>
      <c r="L167" s="128">
        <f t="shared" si="116"/>
        <v>0.8666505951039998</v>
      </c>
      <c r="M167" s="155">
        <f t="shared" si="117"/>
        <v>4.474560048281581</v>
      </c>
      <c r="N167" s="130">
        <f t="shared" si="118"/>
        <v>24.87427180129257</v>
      </c>
      <c r="O167" s="130">
        <f t="shared" si="119"/>
        <v>78.75410980853789</v>
      </c>
      <c r="P167" s="130">
        <f t="shared" si="109"/>
        <v>23.147795756335164</v>
      </c>
      <c r="Q167" s="130">
        <f t="shared" si="120"/>
        <v>75.53970897593055</v>
      </c>
      <c r="R167" s="129">
        <f t="shared" si="144"/>
        <v>7761.374983475228</v>
      </c>
      <c r="S167" s="130">
        <f t="shared" si="121"/>
        <v>4.166666666666667</v>
      </c>
      <c r="T167" s="130">
        <f t="shared" si="122"/>
        <v>6.6</v>
      </c>
      <c r="U167" s="134">
        <f t="shared" si="145"/>
        <v>2.68125</v>
      </c>
      <c r="V167" s="130">
        <f t="shared" si="123"/>
        <v>19887</v>
      </c>
      <c r="W167" s="130">
        <f t="shared" si="124"/>
        <v>19.17</v>
      </c>
      <c r="X167" s="130">
        <f t="shared" si="125"/>
        <v>80.60880048191922</v>
      </c>
      <c r="Y167" s="130">
        <f t="shared" si="126"/>
        <v>21.381644690164247</v>
      </c>
      <c r="Z167" s="130">
        <f t="shared" si="127"/>
        <v>6.606323767882223</v>
      </c>
      <c r="AA167" s="130">
        <f t="shared" si="128"/>
        <v>21.7569572552566</v>
      </c>
      <c r="AB167" s="130">
        <f t="shared" si="129"/>
        <v>0.021955589377366636</v>
      </c>
      <c r="AC167" s="130">
        <f t="shared" si="130"/>
        <v>0.6573292149042813</v>
      </c>
      <c r="AD167" s="130">
        <f t="shared" si="131"/>
        <v>41.74701430090207</v>
      </c>
      <c r="AE167" s="130">
        <f t="shared" si="132"/>
        <v>-12.342664438801599</v>
      </c>
      <c r="AF167" s="130">
        <f t="shared" si="133"/>
        <v>0.0956313929613199</v>
      </c>
      <c r="AG167" s="130">
        <f t="shared" si="134"/>
        <v>0.033401207309131625</v>
      </c>
      <c r="AH167" s="130">
        <f t="shared" si="135"/>
        <v>122.63078934298892</v>
      </c>
      <c r="AI167" s="130">
        <f t="shared" si="136"/>
        <v>33.09902673111037</v>
      </c>
      <c r="AJ167" s="130">
        <f t="shared" si="137"/>
        <v>13.175906470369913</v>
      </c>
      <c r="AK167" s="130">
        <f t="shared" si="146"/>
        <v>387.2840637207031</v>
      </c>
      <c r="AL167" s="130">
        <f t="shared" si="138"/>
        <v>3447.6538408191864</v>
      </c>
      <c r="AM167" s="130">
        <f t="shared" si="139"/>
        <v>2607.1625297009127</v>
      </c>
      <c r="AN167" s="130">
        <f t="shared" si="140"/>
        <v>2538.358590165417</v>
      </c>
      <c r="AO167" s="130">
        <f t="shared" si="141"/>
        <v>2509.5762022873737</v>
      </c>
      <c r="AP167" s="130">
        <f t="shared" si="142"/>
        <v>3291.400562921768</v>
      </c>
      <c r="AQ167" s="130">
        <f t="shared" si="143"/>
        <v>3038.5319122544984</v>
      </c>
      <c r="AR167" s="130">
        <f t="shared" si="147"/>
        <v>300.01456892225474</v>
      </c>
      <c r="AS167" s="130">
        <f t="shared" si="148"/>
        <v>143.92925419723852</v>
      </c>
      <c r="AT167" s="130">
        <f t="shared" si="149"/>
        <v>-32.179332241515475</v>
      </c>
      <c r="AU167" s="130">
        <f t="shared" si="150"/>
        <v>27.30576155611565</v>
      </c>
      <c r="AV167" s="130">
        <f t="shared" si="151"/>
        <v>307.75131060288106</v>
      </c>
      <c r="AW167" s="130">
        <f t="shared" si="152"/>
        <v>29.842221846006915</v>
      </c>
      <c r="AX167" s="130">
        <f t="shared" si="153"/>
        <v>1555.9035553272354</v>
      </c>
      <c r="AY167" s="130">
        <f t="shared" si="154"/>
        <v>619.3668438787943</v>
      </c>
      <c r="AZ167" s="130">
        <f t="shared" si="155"/>
        <v>2651.9196151667566</v>
      </c>
      <c r="BA167" s="130">
        <f t="shared" si="156"/>
        <v>1034.9747352211252</v>
      </c>
      <c r="BB167" s="130">
        <f t="shared" si="157"/>
        <v>22.165651751773204</v>
      </c>
      <c r="BC167" s="130">
        <f t="shared" si="158"/>
        <v>1012.809083469352</v>
      </c>
      <c r="BD167" s="129">
        <f t="shared" si="159"/>
        <v>6726.400248254103</v>
      </c>
      <c r="BE167" s="129">
        <f t="shared" si="110"/>
        <v>22.290404979170546</v>
      </c>
      <c r="BF167" s="130">
        <f t="shared" si="160"/>
        <v>1.0450279492641708</v>
      </c>
      <c r="BG167" s="137">
        <f t="shared" si="161"/>
        <v>0.20856985554540283</v>
      </c>
      <c r="BH167" s="47"/>
      <c r="BI167" s="47"/>
      <c r="BJ167" s="47"/>
    </row>
    <row r="168" spans="1:62" ht="16.5" thickBot="1">
      <c r="A168" s="108">
        <f>IF(Data!A168&gt;0,Data!A168,"")</f>
        <v>148</v>
      </c>
      <c r="B168" s="109">
        <f>IF(A168&gt;0,IF(Data!$F$5="lb",Data!B168/2.204,Data!B168),"")</f>
        <v>24.44871843618403</v>
      </c>
      <c r="C168" s="109">
        <f>IF(A168&gt;0,Data!C168,"")</f>
        <v>0.06020347774028778</v>
      </c>
      <c r="D168" s="110">
        <f>IF(A168&gt;0,Data!D168,"")</f>
        <v>27.441776275634766</v>
      </c>
      <c r="E168" s="143">
        <f t="shared" si="111"/>
        <v>-0.2799687778103054</v>
      </c>
      <c r="F168" s="144">
        <f t="shared" si="112"/>
        <v>19.359907539451967</v>
      </c>
      <c r="G168" s="145">
        <f t="shared" si="113"/>
        <v>-8.111970475052942</v>
      </c>
      <c r="H168" s="111">
        <f>IF(A168&gt;0,IF(Data!$F$4="F",(Data!F168-32)/1.8,Data!F168),"")</f>
        <v>113.7437523735894</v>
      </c>
      <c r="I168" s="123">
        <f>IF(A168&gt;0,IF(Data!$F$4="F",(Data!G168-32)/1.8,Data!G168),"")</f>
        <v>27.19856686062283</v>
      </c>
      <c r="J168" s="136">
        <f t="shared" si="114"/>
        <v>0.9972275595474027</v>
      </c>
      <c r="K168" s="128">
        <f t="shared" si="115"/>
        <v>0.8693737034798538</v>
      </c>
      <c r="L168" s="128">
        <f t="shared" si="116"/>
        <v>0.866963416655902</v>
      </c>
      <c r="M168" s="155">
        <f t="shared" si="117"/>
        <v>4.475081085494834</v>
      </c>
      <c r="N168" s="130">
        <f t="shared" si="118"/>
        <v>24.44871843618403</v>
      </c>
      <c r="O168" s="130">
        <f t="shared" si="119"/>
        <v>79.11758819045511</v>
      </c>
      <c r="P168" s="130">
        <f t="shared" si="109"/>
        <v>22.75971734773117</v>
      </c>
      <c r="Q168" s="130">
        <f t="shared" si="120"/>
        <v>75.94979168594466</v>
      </c>
      <c r="R168" s="129">
        <f t="shared" si="144"/>
        <v>8593.028207640109</v>
      </c>
      <c r="S168" s="130">
        <f t="shared" si="121"/>
        <v>4.166666666666667</v>
      </c>
      <c r="T168" s="130">
        <f t="shared" si="122"/>
        <v>6.6</v>
      </c>
      <c r="U168" s="134">
        <f t="shared" si="145"/>
        <v>2.68125</v>
      </c>
      <c r="V168" s="130">
        <f t="shared" si="123"/>
        <v>19887</v>
      </c>
      <c r="W168" s="130">
        <f t="shared" si="124"/>
        <v>19.17</v>
      </c>
      <c r="X168" s="130">
        <f t="shared" si="125"/>
        <v>80.60999072167789</v>
      </c>
      <c r="Y168" s="130">
        <f t="shared" si="126"/>
        <v>21.38196040362809</v>
      </c>
      <c r="Z168" s="130">
        <f t="shared" si="127"/>
        <v>6.605652123583844</v>
      </c>
      <c r="AA168" s="130">
        <f t="shared" si="128"/>
        <v>21.755510484711422</v>
      </c>
      <c r="AB168" s="130">
        <f t="shared" si="129"/>
        <v>0.021570761557629936</v>
      </c>
      <c r="AC168" s="130">
        <f t="shared" si="130"/>
        <v>0.6572623862965925</v>
      </c>
      <c r="AD168" s="130">
        <f t="shared" si="131"/>
        <v>41.75163047174823</v>
      </c>
      <c r="AE168" s="130">
        <f t="shared" si="132"/>
        <v>-12.342057972860141</v>
      </c>
      <c r="AF168" s="130">
        <f t="shared" si="133"/>
        <v>0.09159732702720143</v>
      </c>
      <c r="AG168" s="130">
        <f t="shared" si="134"/>
        <v>0.032819102397099655</v>
      </c>
      <c r="AH168" s="130">
        <f t="shared" si="135"/>
        <v>122.64506900491074</v>
      </c>
      <c r="AI168" s="130">
        <f t="shared" si="136"/>
        <v>33.10019094093444</v>
      </c>
      <c r="AJ168" s="130">
        <f t="shared" si="137"/>
        <v>13.175906470369913</v>
      </c>
      <c r="AK168" s="130">
        <f t="shared" si="146"/>
        <v>386.8937523735894</v>
      </c>
      <c r="AL168" s="130">
        <f t="shared" si="138"/>
        <v>3418.968733205085</v>
      </c>
      <c r="AM168" s="130">
        <f t="shared" si="139"/>
        <v>2585.50197145546</v>
      </c>
      <c r="AN168" s="130">
        <f t="shared" si="140"/>
        <v>2517.2773681325607</v>
      </c>
      <c r="AO168" s="130">
        <f t="shared" si="141"/>
        <v>2488.732402900757</v>
      </c>
      <c r="AP168" s="130">
        <f t="shared" si="142"/>
        <v>3263.946513903623</v>
      </c>
      <c r="AQ168" s="130">
        <f t="shared" si="143"/>
        <v>3013.2991657004563</v>
      </c>
      <c r="AR168" s="130">
        <f t="shared" si="147"/>
        <v>300.3485668606228</v>
      </c>
      <c r="AS168" s="130">
        <f t="shared" si="148"/>
        <v>142.74751914323986</v>
      </c>
      <c r="AT168" s="130">
        <f t="shared" si="149"/>
        <v>-31.910415220647476</v>
      </c>
      <c r="AU168" s="130">
        <f t="shared" si="150"/>
        <v>26.151978245715824</v>
      </c>
      <c r="AV168" s="130">
        <f t="shared" si="151"/>
        <v>305.23075728852064</v>
      </c>
      <c r="AW168" s="130">
        <f t="shared" si="152"/>
        <v>29.3212407082511</v>
      </c>
      <c r="AX168" s="130">
        <f t="shared" si="153"/>
        <v>1555.12307322879</v>
      </c>
      <c r="AY168" s="130">
        <f t="shared" si="154"/>
        <v>619.0343795702076</v>
      </c>
      <c r="AZ168" s="130">
        <f t="shared" si="155"/>
        <v>2645.6985329640775</v>
      </c>
      <c r="BA168" s="130">
        <f t="shared" si="156"/>
        <v>1143.1871133238988</v>
      </c>
      <c r="BB168" s="130">
        <f t="shared" si="157"/>
        <v>23.823587515862677</v>
      </c>
      <c r="BC168" s="130">
        <f t="shared" si="158"/>
        <v>1119.363525808036</v>
      </c>
      <c r="BD168" s="129">
        <f t="shared" si="159"/>
        <v>7449.841094316211</v>
      </c>
      <c r="BE168" s="129">
        <f t="shared" si="110"/>
        <v>21.396906132361956</v>
      </c>
      <c r="BF168" s="130">
        <f t="shared" si="160"/>
        <v>1.1081991057925769</v>
      </c>
      <c r="BG168" s="137">
        <f t="shared" si="161"/>
        <v>0.226894331088817</v>
      </c>
      <c r="BH168" s="47"/>
      <c r="BI168" s="47"/>
      <c r="BJ168" s="47"/>
    </row>
    <row r="169" spans="1:62" ht="16.5" thickBot="1">
      <c r="A169" s="108">
        <f>IF(Data!A169&gt;0,Data!A169,"")</f>
        <v>149</v>
      </c>
      <c r="B169" s="109">
        <f>IF(A169&gt;0,IF(Data!$F$5="lb",Data!B169/2.204,Data!B169),"")</f>
        <v>23.92710358607574</v>
      </c>
      <c r="C169" s="109">
        <f>IF(A169&gt;0,Data!C169,"")</f>
        <v>0.06021567061543465</v>
      </c>
      <c r="D169" s="110">
        <f>IF(A169&gt;0,Data!D169,"")</f>
        <v>27.441442489624023</v>
      </c>
      <c r="E169" s="143">
        <f t="shared" si="111"/>
        <v>-0.27996035805986264</v>
      </c>
      <c r="F169" s="144">
        <f t="shared" si="112"/>
        <v>19.359926016190492</v>
      </c>
      <c r="G169" s="145">
        <f t="shared" si="113"/>
        <v>-8.111624308741249</v>
      </c>
      <c r="H169" s="111">
        <f>IF(A169&gt;0,IF(Data!$F$4="F",(Data!F169-32)/1.8,Data!F169),"")</f>
        <v>113.77222696940103</v>
      </c>
      <c r="I169" s="123">
        <f>IF(A169&gt;0,IF(Data!$F$4="F",(Data!G169-32)/1.8,Data!G169),"")</f>
        <v>26.946996053059895</v>
      </c>
      <c r="J169" s="136">
        <f t="shared" si="114"/>
        <v>0.9972271811524448</v>
      </c>
      <c r="K169" s="128">
        <f t="shared" si="115"/>
        <v>0.8692837844584269</v>
      </c>
      <c r="L169" s="128">
        <f t="shared" si="116"/>
        <v>0.8668734179970066</v>
      </c>
      <c r="M169" s="155">
        <f t="shared" si="117"/>
        <v>4.475131813945279</v>
      </c>
      <c r="N169" s="130">
        <f t="shared" si="118"/>
        <v>23.92710358607574</v>
      </c>
      <c r="O169" s="130">
        <f t="shared" si="119"/>
        <v>79.56311567830146</v>
      </c>
      <c r="P169" s="130">
        <f t="shared" si="109"/>
        <v>22.28361028767321</v>
      </c>
      <c r="Q169" s="130">
        <f t="shared" si="120"/>
        <v>76.45289432993808</v>
      </c>
      <c r="R169" s="129">
        <f t="shared" si="144"/>
        <v>4599.733560723153</v>
      </c>
      <c r="S169" s="130">
        <f t="shared" si="121"/>
        <v>4.166666666666667</v>
      </c>
      <c r="T169" s="130">
        <f t="shared" si="122"/>
        <v>6.6</v>
      </c>
      <c r="U169" s="134">
        <f t="shared" si="145"/>
        <v>2.68125</v>
      </c>
      <c r="V169" s="130">
        <f t="shared" si="123"/>
        <v>19887</v>
      </c>
      <c r="W169" s="130">
        <f t="shared" si="124"/>
        <v>19.17</v>
      </c>
      <c r="X169" s="130">
        <f t="shared" si="125"/>
        <v>80.6099661485018</v>
      </c>
      <c r="Y169" s="130">
        <f t="shared" si="126"/>
        <v>21.38195388554424</v>
      </c>
      <c r="Z169" s="130">
        <f t="shared" si="127"/>
        <v>6.605575230691407</v>
      </c>
      <c r="AA169" s="130">
        <f t="shared" si="128"/>
        <v>21.75525432599883</v>
      </c>
      <c r="AB169" s="130">
        <f t="shared" si="129"/>
        <v>0.021571967641406786</v>
      </c>
      <c r="AC169" s="130">
        <f t="shared" si="130"/>
        <v>0.6572547354537951</v>
      </c>
      <c r="AD169" s="130">
        <f t="shared" si="131"/>
        <v>41.75160863721636</v>
      </c>
      <c r="AE169" s="130">
        <f t="shared" si="132"/>
        <v>-12.341674956728394</v>
      </c>
      <c r="AF169" s="130">
        <f t="shared" si="133"/>
        <v>0.09161694449239582</v>
      </c>
      <c r="AG169" s="130">
        <f t="shared" si="134"/>
        <v>0.03282131946377326</v>
      </c>
      <c r="AH169" s="130">
        <f t="shared" si="135"/>
        <v>122.64645928012285</v>
      </c>
      <c r="AI169" s="130">
        <f t="shared" si="136"/>
        <v>33.100186506801094</v>
      </c>
      <c r="AJ169" s="130">
        <f t="shared" si="137"/>
        <v>13.175906470369913</v>
      </c>
      <c r="AK169" s="130">
        <f t="shared" si="146"/>
        <v>386.922226969401</v>
      </c>
      <c r="AL169" s="130">
        <f t="shared" si="138"/>
        <v>3429.751060170628</v>
      </c>
      <c r="AM169" s="130">
        <f t="shared" si="139"/>
        <v>2593.7810464744553</v>
      </c>
      <c r="AN169" s="130">
        <f t="shared" si="140"/>
        <v>2525.3686096617507</v>
      </c>
      <c r="AO169" s="130">
        <f t="shared" si="141"/>
        <v>2496.7254666954595</v>
      </c>
      <c r="AP169" s="130">
        <f t="shared" si="142"/>
        <v>3273.9657153766693</v>
      </c>
      <c r="AQ169" s="130">
        <f t="shared" si="143"/>
        <v>3022.994480326291</v>
      </c>
      <c r="AR169" s="130">
        <f t="shared" si="147"/>
        <v>300.09699605305985</v>
      </c>
      <c r="AS169" s="130">
        <f t="shared" si="148"/>
        <v>143.19762398732195</v>
      </c>
      <c r="AT169" s="130">
        <f t="shared" si="149"/>
        <v>-32.01160258451055</v>
      </c>
      <c r="AU169" s="130">
        <f t="shared" si="150"/>
        <v>26.158320528470792</v>
      </c>
      <c r="AV169" s="130">
        <f t="shared" si="151"/>
        <v>306.2145382847104</v>
      </c>
      <c r="AW169" s="130">
        <f t="shared" si="152"/>
        <v>29.323550323252363</v>
      </c>
      <c r="AX169" s="130">
        <f t="shared" si="153"/>
        <v>1555.443781625368</v>
      </c>
      <c r="AY169" s="130">
        <f t="shared" si="154"/>
        <v>619.1621241289184</v>
      </c>
      <c r="AZ169" s="130">
        <f t="shared" si="155"/>
        <v>2647.4883362935316</v>
      </c>
      <c r="BA169" s="130">
        <f t="shared" si="156"/>
        <v>612.346807063532</v>
      </c>
      <c r="BB169" s="130">
        <f t="shared" si="157"/>
        <v>12.754189637384595</v>
      </c>
      <c r="BC169" s="130">
        <f t="shared" si="158"/>
        <v>599.5926174261474</v>
      </c>
      <c r="BD169" s="129">
        <f t="shared" si="159"/>
        <v>3987.386753659621</v>
      </c>
      <c r="BE169" s="129">
        <f t="shared" si="110"/>
        <v>26.253994666513652</v>
      </c>
      <c r="BF169" s="130">
        <f t="shared" si="160"/>
        <v>0.5933312697114864</v>
      </c>
      <c r="BG169" s="137">
        <f t="shared" si="161"/>
        <v>0.12146171842488772</v>
      </c>
      <c r="BH169" s="47"/>
      <c r="BI169" s="47"/>
      <c r="BJ169" s="47"/>
    </row>
    <row r="170" spans="1:62" ht="16.5" thickBot="1">
      <c r="A170" s="108">
        <f>IF(Data!A170&gt;0,Data!A170,"")</f>
        <v>150</v>
      </c>
      <c r="B170" s="109">
        <f>IF(A170&gt;0,IF(Data!$F$5="lb",Data!B170/2.204,Data!B170),"")</f>
        <v>23.941908903866192</v>
      </c>
      <c r="C170" s="109">
        <f>IF(A170&gt;0,Data!C170,"")</f>
        <v>0.06020347774028778</v>
      </c>
      <c r="D170" s="110">
        <f>IF(A170&gt;0,Data!D170,"")</f>
        <v>27.44162368774414</v>
      </c>
      <c r="E170" s="143">
        <f t="shared" si="111"/>
        <v>-0.2799647828740883</v>
      </c>
      <c r="F170" s="144">
        <f t="shared" si="112"/>
        <v>19.359916306201768</v>
      </c>
      <c r="G170" s="145">
        <f t="shared" si="113"/>
        <v>-8.111809120412516</v>
      </c>
      <c r="H170" s="111">
        <f>IF(A170&gt;0,IF(Data!$F$4="F",(Data!F170-32)/1.8,Data!F170),"")</f>
        <v>113.94720289442274</v>
      </c>
      <c r="I170" s="123">
        <f>IF(A170&gt;0,IF(Data!$F$4="F",(Data!G170-32)/1.8,Data!G170),"")</f>
        <v>26.840409172905815</v>
      </c>
      <c r="J170" s="136">
        <f t="shared" si="114"/>
        <v>0.9972275616230807</v>
      </c>
      <c r="K170" s="128">
        <f t="shared" si="115"/>
        <v>0.8691924380169471</v>
      </c>
      <c r="L170" s="128">
        <f t="shared" si="116"/>
        <v>0.8667826555448609</v>
      </c>
      <c r="M170" s="155">
        <f t="shared" si="117"/>
        <v>4.475105450070068</v>
      </c>
      <c r="N170" s="130">
        <f t="shared" si="118"/>
        <v>23.941908903866192</v>
      </c>
      <c r="O170" s="130">
        <f t="shared" si="119"/>
        <v>79.55046999530263</v>
      </c>
      <c r="P170" s="130">
        <f t="shared" si="109"/>
        <v>22.29713037526442</v>
      </c>
      <c r="Q170" s="130">
        <f t="shared" si="120"/>
        <v>76.43860764447425</v>
      </c>
      <c r="R170" s="129">
        <f t="shared" si="144"/>
        <v>5984.466761729667</v>
      </c>
      <c r="S170" s="130">
        <f t="shared" si="121"/>
        <v>4.166666666666667</v>
      </c>
      <c r="T170" s="130">
        <f t="shared" si="122"/>
        <v>6.6</v>
      </c>
      <c r="U170" s="134">
        <f t="shared" si="145"/>
        <v>2.68125</v>
      </c>
      <c r="V170" s="130">
        <f t="shared" si="123"/>
        <v>19887</v>
      </c>
      <c r="W170" s="130">
        <f t="shared" si="124"/>
        <v>19.17</v>
      </c>
      <c r="X170" s="130">
        <f t="shared" si="125"/>
        <v>80.60998195492809</v>
      </c>
      <c r="Y170" s="130">
        <f t="shared" si="126"/>
        <v>21.381958078230262</v>
      </c>
      <c r="Z170" s="130">
        <f t="shared" si="127"/>
        <v>6.6056154409175525</v>
      </c>
      <c r="AA170" s="130">
        <f t="shared" si="128"/>
        <v>21.75538994501717</v>
      </c>
      <c r="AB170" s="130">
        <f t="shared" si="129"/>
        <v>0.02157050500537494</v>
      </c>
      <c r="AC170" s="130">
        <f t="shared" si="130"/>
        <v>0.6572587363712965</v>
      </c>
      <c r="AD170" s="130">
        <f t="shared" si="131"/>
        <v>41.751630171168856</v>
      </c>
      <c r="AE170" s="130">
        <f t="shared" si="132"/>
        <v>-12.34188101507413</v>
      </c>
      <c r="AF170" s="130">
        <f t="shared" si="133"/>
        <v>0.09159783569050625</v>
      </c>
      <c r="AG170" s="130">
        <f t="shared" si="134"/>
        <v>0.032818894313166494</v>
      </c>
      <c r="AH170" s="130">
        <f t="shared" si="135"/>
        <v>122.64573674588657</v>
      </c>
      <c r="AI170" s="130">
        <f t="shared" si="136"/>
        <v>33.100191357102304</v>
      </c>
      <c r="AJ170" s="130">
        <f t="shared" si="137"/>
        <v>13.175906470369913</v>
      </c>
      <c r="AK170" s="130">
        <f t="shared" si="146"/>
        <v>387.0972028944227</v>
      </c>
      <c r="AL170" s="130">
        <f t="shared" si="138"/>
        <v>3440.9596704815067</v>
      </c>
      <c r="AM170" s="130">
        <f t="shared" si="139"/>
        <v>2602.219144467979</v>
      </c>
      <c r="AN170" s="130">
        <f t="shared" si="140"/>
        <v>2533.5747279641255</v>
      </c>
      <c r="AO170" s="130">
        <f t="shared" si="141"/>
        <v>2504.8404861972804</v>
      </c>
      <c r="AP170" s="130">
        <f t="shared" si="142"/>
        <v>3284.749555832975</v>
      </c>
      <c r="AQ170" s="130">
        <f t="shared" si="143"/>
        <v>3032.8146317402557</v>
      </c>
      <c r="AR170" s="130">
        <f t="shared" si="147"/>
        <v>299.9904091729058</v>
      </c>
      <c r="AS170" s="130">
        <f t="shared" si="148"/>
        <v>143.66567559585093</v>
      </c>
      <c r="AT170" s="130">
        <f t="shared" si="149"/>
        <v>-32.11627905617179</v>
      </c>
      <c r="AU170" s="130">
        <f t="shared" si="150"/>
        <v>26.153616277205114</v>
      </c>
      <c r="AV170" s="130">
        <f t="shared" si="151"/>
        <v>307.20800686059016</v>
      </c>
      <c r="AW170" s="130">
        <f t="shared" si="152"/>
        <v>29.321737534749136</v>
      </c>
      <c r="AX170" s="130">
        <f t="shared" si="153"/>
        <v>1555.7690584416537</v>
      </c>
      <c r="AY170" s="130">
        <f t="shared" si="154"/>
        <v>619.2915135254738</v>
      </c>
      <c r="AZ170" s="130">
        <f t="shared" si="155"/>
        <v>2649.293329179351</v>
      </c>
      <c r="BA170" s="130">
        <f t="shared" si="156"/>
        <v>797.2347699776718</v>
      </c>
      <c r="BB170" s="130">
        <f t="shared" si="157"/>
        <v>16.59151552292773</v>
      </c>
      <c r="BC170" s="130">
        <f t="shared" si="158"/>
        <v>780.6432544547441</v>
      </c>
      <c r="BD170" s="129">
        <f t="shared" si="159"/>
        <v>5187.231991751995</v>
      </c>
      <c r="BE170" s="129">
        <f t="shared" si="110"/>
        <v>-0.7454365460478704</v>
      </c>
      <c r="BF170" s="130">
        <f t="shared" si="160"/>
        <v>0.7717905007197607</v>
      </c>
      <c r="BG170" s="137">
        <f t="shared" si="161"/>
        <v>0.15801565418523753</v>
      </c>
      <c r="BH170" s="47"/>
      <c r="BI170" s="47"/>
      <c r="BJ170" s="47"/>
    </row>
    <row r="171" spans="1:62" ht="16.5" thickBot="1">
      <c r="A171" s="108">
        <f>IF(Data!A171&gt;0,Data!A171,"")</f>
        <v>151</v>
      </c>
      <c r="B171" s="109">
        <f>IF(A171&gt;0,IF(Data!$F$5="lb",Data!B171/2.204,Data!B171),"")</f>
        <v>23.268459063909013</v>
      </c>
      <c r="C171" s="109">
        <f>IF(A171&gt;0,Data!C171,"")</f>
        <v>0.05485124513506889</v>
      </c>
      <c r="D171" s="110">
        <f>IF(A171&gt;0,Data!D171,"")</f>
        <v>27.44150161743164</v>
      </c>
      <c r="E171" s="143">
        <f t="shared" si="111"/>
        <v>-0.2798214296479469</v>
      </c>
      <c r="F171" s="144">
        <f t="shared" si="112"/>
        <v>19.360230825550722</v>
      </c>
      <c r="G171" s="145">
        <f t="shared" si="113"/>
        <v>-8.108696414448453</v>
      </c>
      <c r="H171" s="111">
        <f>IF(A171&gt;0,IF(Data!$F$4="F",(Data!F171-32)/1.8,Data!F171),"")</f>
        <v>114.1825951470269</v>
      </c>
      <c r="I171" s="123">
        <f>IF(A171&gt;0,IF(Data!$F$4="F",(Data!G171-32)/1.8,Data!G171),"")</f>
        <v>26.714223225911457</v>
      </c>
      <c r="J171" s="136">
        <f t="shared" si="114"/>
        <v>0.9973956953348283</v>
      </c>
      <c r="K171" s="128">
        <f t="shared" si="115"/>
        <v>0.8690867116821176</v>
      </c>
      <c r="L171" s="128">
        <f t="shared" si="116"/>
        <v>0.8668233451044451</v>
      </c>
      <c r="M171" s="155">
        <f t="shared" si="117"/>
        <v>4.476253067215439</v>
      </c>
      <c r="N171" s="130">
        <f t="shared" si="118"/>
        <v>23.268459063909013</v>
      </c>
      <c r="O171" s="130">
        <f t="shared" si="119"/>
        <v>80.12568447649377</v>
      </c>
      <c r="P171" s="130">
        <f t="shared" si="109"/>
        <v>21.681763175315417</v>
      </c>
      <c r="Q171" s="130">
        <f t="shared" si="120"/>
        <v>77.08886657002657</v>
      </c>
      <c r="R171" s="129">
        <f t="shared" si="144"/>
        <v>8370.049345263202</v>
      </c>
      <c r="S171" s="130">
        <f t="shared" si="121"/>
        <v>4.166666666666667</v>
      </c>
      <c r="T171" s="130">
        <f t="shared" si="122"/>
        <v>6.6</v>
      </c>
      <c r="U171" s="134">
        <f t="shared" si="145"/>
        <v>2.68125</v>
      </c>
      <c r="V171" s="130">
        <f t="shared" si="123"/>
        <v>19887</v>
      </c>
      <c r="W171" s="130">
        <f t="shared" si="124"/>
        <v>19.17</v>
      </c>
      <c r="X171" s="130">
        <f t="shared" si="125"/>
        <v>80.61234355188174</v>
      </c>
      <c r="Y171" s="130">
        <f t="shared" si="126"/>
        <v>21.382584496520355</v>
      </c>
      <c r="Z171" s="130">
        <f t="shared" si="127"/>
        <v>6.604115372382715</v>
      </c>
      <c r="AA171" s="130">
        <f t="shared" si="128"/>
        <v>21.751991684140418</v>
      </c>
      <c r="AB171" s="130">
        <f t="shared" si="129"/>
        <v>0.020794522361271106</v>
      </c>
      <c r="AC171" s="130">
        <f t="shared" si="130"/>
        <v>0.6571094795520802</v>
      </c>
      <c r="AD171" s="130">
        <f t="shared" si="131"/>
        <v>41.760927929600385</v>
      </c>
      <c r="AE171" s="130">
        <f t="shared" si="132"/>
        <v>-12.339947401117634</v>
      </c>
      <c r="AF171" s="130">
        <f t="shared" si="133"/>
        <v>0.08347352586125882</v>
      </c>
      <c r="AG171" s="130">
        <f t="shared" si="134"/>
        <v>0.03164544571088174</v>
      </c>
      <c r="AH171" s="130">
        <f t="shared" si="135"/>
        <v>122.6771885969919</v>
      </c>
      <c r="AI171" s="130">
        <f t="shared" si="136"/>
        <v>33.10253825430688</v>
      </c>
      <c r="AJ171" s="130">
        <f t="shared" si="137"/>
        <v>13.175906470369913</v>
      </c>
      <c r="AK171" s="130">
        <f t="shared" si="146"/>
        <v>387.3325951470269</v>
      </c>
      <c r="AL171" s="130">
        <f t="shared" si="138"/>
        <v>3455.3815164902967</v>
      </c>
      <c r="AM171" s="130">
        <f t="shared" si="139"/>
        <v>2613.063877807346</v>
      </c>
      <c r="AN171" s="130">
        <f t="shared" si="140"/>
        <v>2544.1182814202025</v>
      </c>
      <c r="AO171" s="130">
        <f t="shared" si="141"/>
        <v>2515.2676301382203</v>
      </c>
      <c r="AP171" s="130">
        <f t="shared" si="142"/>
        <v>3298.6519307435638</v>
      </c>
      <c r="AQ171" s="130">
        <f t="shared" si="143"/>
        <v>3045.4309955994204</v>
      </c>
      <c r="AR171" s="130">
        <f t="shared" si="147"/>
        <v>299.8642232259114</v>
      </c>
      <c r="AS171" s="130">
        <f t="shared" si="148"/>
        <v>144.29993847942455</v>
      </c>
      <c r="AT171" s="130">
        <f t="shared" si="149"/>
        <v>-32.24507080790313</v>
      </c>
      <c r="AU171" s="130">
        <f t="shared" si="150"/>
        <v>23.83479002721345</v>
      </c>
      <c r="AV171" s="130">
        <f t="shared" si="151"/>
        <v>308.5659614343753</v>
      </c>
      <c r="AW171" s="130">
        <f t="shared" si="152"/>
        <v>28.273770682809083</v>
      </c>
      <c r="AX171" s="130">
        <f t="shared" si="153"/>
        <v>1556.2970005363009</v>
      </c>
      <c r="AY171" s="130">
        <f t="shared" si="154"/>
        <v>619.4577455556782</v>
      </c>
      <c r="AZ171" s="130">
        <f t="shared" si="155"/>
        <v>2648.4841359078982</v>
      </c>
      <c r="BA171" s="130">
        <f t="shared" si="156"/>
        <v>1114.6951731128818</v>
      </c>
      <c r="BB171" s="130">
        <f t="shared" si="157"/>
        <v>21.798090997946353</v>
      </c>
      <c r="BC171" s="130">
        <f t="shared" si="158"/>
        <v>1092.8970821149355</v>
      </c>
      <c r="BD171" s="129">
        <f t="shared" si="159"/>
        <v>7255.35417215032</v>
      </c>
      <c r="BE171" s="129">
        <f t="shared" si="110"/>
        <v>31.87097917775028</v>
      </c>
      <c r="BF171" s="130">
        <f t="shared" si="160"/>
        <v>0.9837064843109332</v>
      </c>
      <c r="BG171" s="137">
        <f t="shared" si="161"/>
        <v>0.21310318672735185</v>
      </c>
      <c r="BH171" s="47"/>
      <c r="BI171" s="47"/>
      <c r="BJ171" s="47"/>
    </row>
    <row r="172" spans="1:62" ht="16.5" thickBot="1">
      <c r="A172" s="108">
        <f>IF(Data!A172&gt;0,Data!A172,"")</f>
        <v>152</v>
      </c>
      <c r="B172" s="109">
        <f>IF(A172&gt;0,IF(Data!$F$5="lb",Data!B172/2.204,Data!B172),"")</f>
        <v>23.020908750336744</v>
      </c>
      <c r="C172" s="109">
        <f>IF(A172&gt;0,Data!C172,"")</f>
        <v>0.05782606080174446</v>
      </c>
      <c r="D172" s="110">
        <f>IF(A172&gt;0,Data!D172,"")</f>
        <v>27.441442489624023</v>
      </c>
      <c r="E172" s="143">
        <f t="shared" si="111"/>
        <v>-0.27989778862128023</v>
      </c>
      <c r="F172" s="144">
        <f t="shared" si="112"/>
        <v>19.360063308286705</v>
      </c>
      <c r="G172" s="145">
        <f t="shared" si="113"/>
        <v>-8.11029221173819</v>
      </c>
      <c r="H172" s="111">
        <f>IF(A172&gt;0,IF(Data!$F$4="F",(Data!F172-32)/1.8,Data!F172),"")</f>
        <v>114.92393493652344</v>
      </c>
      <c r="I172" s="123">
        <f>IF(A172&gt;0,IF(Data!$F$4="F",(Data!G172-32)/1.8,Data!G172),"")</f>
        <v>26.837459140353733</v>
      </c>
      <c r="J172" s="136">
        <f t="shared" si="114"/>
        <v>0.9973022378561601</v>
      </c>
      <c r="K172" s="128">
        <f t="shared" si="115"/>
        <v>0.8688757577549705</v>
      </c>
      <c r="L172" s="128">
        <f t="shared" si="116"/>
        <v>0.8665317376279991</v>
      </c>
      <c r="M172" s="155">
        <f t="shared" si="117"/>
        <v>4.475635427163557</v>
      </c>
      <c r="N172" s="130">
        <f t="shared" si="118"/>
        <v>23.020908750336744</v>
      </c>
      <c r="O172" s="130">
        <f t="shared" si="119"/>
        <v>80.33712490864121</v>
      </c>
      <c r="P172" s="130">
        <f t="shared" si="109"/>
        <v>21.455369491746225</v>
      </c>
      <c r="Q172" s="130">
        <f t="shared" si="120"/>
        <v>77.32809692458844</v>
      </c>
      <c r="R172" s="129">
        <f t="shared" si="144"/>
        <v>10124.166859440535</v>
      </c>
      <c r="S172" s="130">
        <f t="shared" si="121"/>
        <v>4.166666666666667</v>
      </c>
      <c r="T172" s="130">
        <f t="shared" si="122"/>
        <v>6.6</v>
      </c>
      <c r="U172" s="134">
        <f t="shared" si="145"/>
        <v>2.68125</v>
      </c>
      <c r="V172" s="130">
        <f t="shared" si="123"/>
        <v>19887</v>
      </c>
      <c r="W172" s="130">
        <f t="shared" si="124"/>
        <v>19.17</v>
      </c>
      <c r="X172" s="130">
        <f t="shared" si="125"/>
        <v>80.61102366131243</v>
      </c>
      <c r="Y172" s="130">
        <f t="shared" si="126"/>
        <v>21.38223439292107</v>
      </c>
      <c r="Z172" s="130">
        <f t="shared" si="127"/>
        <v>6.604918597666688</v>
      </c>
      <c r="AA172" s="130">
        <f t="shared" si="128"/>
        <v>21.753780159262533</v>
      </c>
      <c r="AB172" s="130">
        <f t="shared" si="129"/>
        <v>0.021225606518768814</v>
      </c>
      <c r="AC172" s="130">
        <f t="shared" si="130"/>
        <v>0.6571894004678355</v>
      </c>
      <c r="AD172" s="130">
        <f t="shared" si="131"/>
        <v>41.75575940526308</v>
      </c>
      <c r="AE172" s="130">
        <f t="shared" si="132"/>
        <v>-12.34087495319415</v>
      </c>
      <c r="AF172" s="130">
        <f t="shared" si="133"/>
        <v>0.08798994743460506</v>
      </c>
      <c r="AG172" s="130">
        <f t="shared" si="134"/>
        <v>0.03229754847485196</v>
      </c>
      <c r="AH172" s="130">
        <f t="shared" si="135"/>
        <v>122.66026141615737</v>
      </c>
      <c r="AI172" s="130">
        <f t="shared" si="136"/>
        <v>33.10123404877894</v>
      </c>
      <c r="AJ172" s="130">
        <f t="shared" si="137"/>
        <v>13.175906470369913</v>
      </c>
      <c r="AK172" s="130">
        <f t="shared" si="146"/>
        <v>388.0739349365234</v>
      </c>
      <c r="AL172" s="130">
        <f t="shared" si="138"/>
        <v>3480.9035933855107</v>
      </c>
      <c r="AM172" s="130">
        <f t="shared" si="139"/>
        <v>2631.8720597833585</v>
      </c>
      <c r="AN172" s="130">
        <f t="shared" si="140"/>
        <v>2562.309784915329</v>
      </c>
      <c r="AO172" s="130">
        <f t="shared" si="141"/>
        <v>2533.278104889272</v>
      </c>
      <c r="AP172" s="130">
        <f t="shared" si="142"/>
        <v>3324.094587828735</v>
      </c>
      <c r="AQ172" s="130">
        <f t="shared" si="143"/>
        <v>3067.16888269289</v>
      </c>
      <c r="AR172" s="130">
        <f t="shared" si="147"/>
        <v>299.98745914035374</v>
      </c>
      <c r="AS172" s="130">
        <f t="shared" si="148"/>
        <v>145.3477729583211</v>
      </c>
      <c r="AT172" s="130">
        <f t="shared" si="149"/>
        <v>-32.47960398259195</v>
      </c>
      <c r="AU172" s="130">
        <f t="shared" si="150"/>
        <v>25.125996697647064</v>
      </c>
      <c r="AV172" s="130">
        <f t="shared" si="151"/>
        <v>310.7325545855458</v>
      </c>
      <c r="AW172" s="130">
        <f t="shared" si="152"/>
        <v>28.857216666265714</v>
      </c>
      <c r="AX172" s="130">
        <f t="shared" si="153"/>
        <v>1556.9552349439102</v>
      </c>
      <c r="AY172" s="130">
        <f t="shared" si="154"/>
        <v>619.7441619228853</v>
      </c>
      <c r="AZ172" s="130">
        <f t="shared" si="155"/>
        <v>2654.2833337919833</v>
      </c>
      <c r="BA172" s="130">
        <f t="shared" si="156"/>
        <v>1351.2549586937264</v>
      </c>
      <c r="BB172" s="130">
        <f t="shared" si="157"/>
        <v>27.312510973936178</v>
      </c>
      <c r="BC172" s="130">
        <f t="shared" si="158"/>
        <v>1323.9424477197902</v>
      </c>
      <c r="BD172" s="129">
        <f t="shared" si="159"/>
        <v>8772.911900746809</v>
      </c>
      <c r="BE172" s="129">
        <f t="shared" si="110"/>
        <v>12.146110719815603</v>
      </c>
      <c r="BF172" s="130">
        <f t="shared" si="160"/>
        <v>1.2542413372493393</v>
      </c>
      <c r="BG172" s="137">
        <f t="shared" si="161"/>
        <v>0.2630749896195669</v>
      </c>
      <c r="BH172" s="47"/>
      <c r="BI172" s="47"/>
      <c r="BJ172" s="47"/>
    </row>
    <row r="173" spans="1:62" ht="16.5" thickBot="1">
      <c r="A173" s="108">
        <f>IF(Data!A173&gt;0,Data!A173,"")</f>
        <v>153</v>
      </c>
      <c r="B173" s="109">
        <f>IF(A173&gt;0,IF(Data!$F$5="lb",Data!B173/2.204,Data!B173),"")</f>
        <v>22.156026532126422</v>
      </c>
      <c r="C173" s="109">
        <f>IF(A173&gt;0,Data!C173,"")</f>
        <v>0.06024005264043808</v>
      </c>
      <c r="D173" s="110">
        <f>IF(A173&gt;0,Data!D173,"")</f>
        <v>27.44186782836914</v>
      </c>
      <c r="E173" s="143">
        <f t="shared" si="111"/>
        <v>-0.27997213231308316</v>
      </c>
      <c r="F173" s="144">
        <f t="shared" si="112"/>
        <v>19.359900178036128</v>
      </c>
      <c r="G173" s="145">
        <f t="shared" si="113"/>
        <v>-8.112087676653232</v>
      </c>
      <c r="H173" s="111">
        <f>IF(A173&gt;0,IF(Data!$F$4="F",(Data!F173-32)/1.8,Data!F173),"")</f>
        <v>115.70550706651476</v>
      </c>
      <c r="I173" s="123">
        <f>IF(A173&gt;0,IF(Data!$F$4="F",(Data!G173-32)/1.8,Data!G173),"")</f>
        <v>27.01368967692057</v>
      </c>
      <c r="J173" s="136">
        <f t="shared" si="114"/>
        <v>0.9972264096313592</v>
      </c>
      <c r="K173" s="128">
        <f t="shared" si="115"/>
        <v>0.8686700422789208</v>
      </c>
      <c r="L173" s="128">
        <f t="shared" si="116"/>
        <v>0.8662607074161291</v>
      </c>
      <c r="M173" s="155">
        <f t="shared" si="117"/>
        <v>4.475058759667012</v>
      </c>
      <c r="N173" s="130">
        <f t="shared" si="118"/>
        <v>22.156026532126422</v>
      </c>
      <c r="O173" s="130">
        <f t="shared" si="119"/>
        <v>81.07584774577329</v>
      </c>
      <c r="P173" s="130">
        <f t="shared" si="109"/>
        <v>20.66359383258494</v>
      </c>
      <c r="Q173" s="130">
        <f t="shared" si="120"/>
        <v>78.16476678519747</v>
      </c>
      <c r="R173" s="129">
        <f t="shared" si="144"/>
        <v>12002.537964692408</v>
      </c>
      <c r="S173" s="130">
        <f t="shared" si="121"/>
        <v>4.166666666666667</v>
      </c>
      <c r="T173" s="130">
        <f t="shared" si="122"/>
        <v>6.6</v>
      </c>
      <c r="U173" s="134">
        <f t="shared" si="145"/>
        <v>2.68125</v>
      </c>
      <c r="V173" s="130">
        <f t="shared" si="123"/>
        <v>19887</v>
      </c>
      <c r="W173" s="130">
        <f t="shared" si="124"/>
        <v>19.17</v>
      </c>
      <c r="X173" s="130">
        <f t="shared" si="125"/>
        <v>80.60997979564365</v>
      </c>
      <c r="Y173" s="130">
        <f t="shared" si="126"/>
        <v>21.38195750547577</v>
      </c>
      <c r="Z173" s="130">
        <f t="shared" si="127"/>
        <v>6.6056841834801885</v>
      </c>
      <c r="AA173" s="130">
        <f t="shared" si="128"/>
        <v>21.755605371835536</v>
      </c>
      <c r="AB173" s="130">
        <f t="shared" si="129"/>
        <v>0.021576216824541916</v>
      </c>
      <c r="AC173" s="130">
        <f t="shared" si="130"/>
        <v>0.6572655762562787</v>
      </c>
      <c r="AD173" s="130">
        <f t="shared" si="131"/>
        <v>41.75156712858046</v>
      </c>
      <c r="AE173" s="130">
        <f t="shared" si="132"/>
        <v>-12.342176389122493</v>
      </c>
      <c r="AF173" s="130">
        <f t="shared" si="133"/>
        <v>0.09165252953541186</v>
      </c>
      <c r="AG173" s="130">
        <f t="shared" si="134"/>
        <v>0.03282724305666206</v>
      </c>
      <c r="AH173" s="130">
        <f t="shared" si="135"/>
        <v>122.64445713830065</v>
      </c>
      <c r="AI173" s="130">
        <f t="shared" si="136"/>
        <v>33.10017465961532</v>
      </c>
      <c r="AJ173" s="130">
        <f t="shared" si="137"/>
        <v>13.175906470369913</v>
      </c>
      <c r="AK173" s="130">
        <f t="shared" si="146"/>
        <v>388.85550706651475</v>
      </c>
      <c r="AL173" s="130">
        <f t="shared" si="138"/>
        <v>3506.0565749332695</v>
      </c>
      <c r="AM173" s="130">
        <f t="shared" si="139"/>
        <v>2650.3408948178326</v>
      </c>
      <c r="AN173" s="130">
        <f t="shared" si="140"/>
        <v>2580.156165307539</v>
      </c>
      <c r="AO173" s="130">
        <f t="shared" si="141"/>
        <v>2550.950460619365</v>
      </c>
      <c r="AP173" s="130">
        <f t="shared" si="142"/>
        <v>3349.3167727170153</v>
      </c>
      <c r="AQ173" s="130">
        <f t="shared" si="143"/>
        <v>3088.4889672148324</v>
      </c>
      <c r="AR173" s="130">
        <f t="shared" si="147"/>
        <v>300.16368967692057</v>
      </c>
      <c r="AS173" s="130">
        <f t="shared" si="148"/>
        <v>146.3833564449273</v>
      </c>
      <c r="AT173" s="130">
        <f t="shared" si="149"/>
        <v>-32.710974815146436</v>
      </c>
      <c r="AU173" s="130">
        <f t="shared" si="150"/>
        <v>26.173502129961637</v>
      </c>
      <c r="AV173" s="130">
        <f t="shared" si="151"/>
        <v>312.85993442936007</v>
      </c>
      <c r="AW173" s="130">
        <f t="shared" si="152"/>
        <v>29.331316206117815</v>
      </c>
      <c r="AX173" s="130">
        <f t="shared" si="153"/>
        <v>1557.6111038577321</v>
      </c>
      <c r="AY173" s="130">
        <f t="shared" si="154"/>
        <v>620.0250733624868</v>
      </c>
      <c r="AZ173" s="130">
        <f t="shared" si="155"/>
        <v>2659.673311615439</v>
      </c>
      <c r="BA173" s="130">
        <f t="shared" si="156"/>
        <v>1605.2109366090153</v>
      </c>
      <c r="BB173" s="130">
        <f t="shared" si="157"/>
        <v>33.29002381152289</v>
      </c>
      <c r="BC173" s="130">
        <f t="shared" si="158"/>
        <v>1571.9209127974925</v>
      </c>
      <c r="BD173" s="129">
        <f t="shared" si="159"/>
        <v>10397.327028083393</v>
      </c>
      <c r="BE173" s="129">
        <f t="shared" si="110"/>
        <v>43.67307191579199</v>
      </c>
      <c r="BF173" s="130">
        <f t="shared" si="160"/>
        <v>1.5488390923039397</v>
      </c>
      <c r="BG173" s="137">
        <f t="shared" si="161"/>
        <v>0.3169992305033613</v>
      </c>
      <c r="BH173" s="47"/>
      <c r="BI173" s="47"/>
      <c r="BJ173" s="47"/>
    </row>
    <row r="174" spans="1:62" ht="16.5" thickBot="1">
      <c r="A174" s="108">
        <f>IF(Data!A174&gt;0,Data!A174,"")</f>
        <v>154</v>
      </c>
      <c r="B174" s="109">
        <f>IF(A174&gt;0,IF(Data!$F$5="lb",Data!B174/2.204,Data!B174),"")</f>
        <v>21.702927383450543</v>
      </c>
      <c r="C174" s="109">
        <f>IF(A174&gt;0,Data!C174,"")</f>
        <v>0.06020347774028778</v>
      </c>
      <c r="D174" s="110">
        <f>IF(A174&gt;0,Data!D174,"")</f>
        <v>27.441471099853516</v>
      </c>
      <c r="E174" s="143">
        <f t="shared" si="111"/>
        <v>-0.27996078789354095</v>
      </c>
      <c r="F174" s="144">
        <f t="shared" si="112"/>
        <v>19.35992507295157</v>
      </c>
      <c r="G174" s="145">
        <f t="shared" si="113"/>
        <v>-8.11164776577209</v>
      </c>
      <c r="H174" s="111">
        <f>IF(A174&gt;0,IF(Data!$F$4="F",(Data!F174-32)/1.8,Data!F174),"")</f>
        <v>116.54351128472221</v>
      </c>
      <c r="I174" s="123">
        <f>IF(A174&gt;0,IF(Data!$F$4="F",(Data!G174-32)/1.8,Data!G174),"")</f>
        <v>27.12932586669922</v>
      </c>
      <c r="J174" s="136">
        <f t="shared" si="114"/>
        <v>0.997227563698782</v>
      </c>
      <c r="K174" s="128">
        <f t="shared" si="115"/>
        <v>0.868431253353418</v>
      </c>
      <c r="L174" s="128">
        <f t="shared" si="116"/>
        <v>0.8660235830215087</v>
      </c>
      <c r="M174" s="155">
        <f t="shared" si="117"/>
        <v>4.47512981491591</v>
      </c>
      <c r="N174" s="130">
        <f t="shared" si="118"/>
        <v>21.702927383450543</v>
      </c>
      <c r="O174" s="130">
        <f t="shared" si="119"/>
        <v>81.4628538392788</v>
      </c>
      <c r="P174" s="130">
        <f t="shared" si="109"/>
        <v>20.248295728514723</v>
      </c>
      <c r="Q174" s="130">
        <f t="shared" si="120"/>
        <v>78.60361256534142</v>
      </c>
      <c r="R174" s="129">
        <f t="shared" si="144"/>
        <v>8746.258316489137</v>
      </c>
      <c r="S174" s="130">
        <f t="shared" si="121"/>
        <v>4.166666666666667</v>
      </c>
      <c r="T174" s="130">
        <f t="shared" si="122"/>
        <v>6.6</v>
      </c>
      <c r="U174" s="134">
        <f t="shared" si="145"/>
        <v>2.68125</v>
      </c>
      <c r="V174" s="130">
        <f t="shared" si="123"/>
        <v>19887</v>
      </c>
      <c r="W174" s="130">
        <f t="shared" si="124"/>
        <v>19.17</v>
      </c>
      <c r="X174" s="130">
        <f t="shared" si="125"/>
        <v>80.60997318817829</v>
      </c>
      <c r="Y174" s="130">
        <f t="shared" si="126"/>
        <v>21.381955752832436</v>
      </c>
      <c r="Z174" s="130">
        <f t="shared" si="127"/>
        <v>6.60557875825126</v>
      </c>
      <c r="AA174" s="130">
        <f t="shared" si="128"/>
        <v>21.755269405322924</v>
      </c>
      <c r="AB174" s="130">
        <f t="shared" si="129"/>
        <v>0.021570248453116392</v>
      </c>
      <c r="AC174" s="130">
        <f t="shared" si="130"/>
        <v>0.6572550864460004</v>
      </c>
      <c r="AD174" s="130">
        <f t="shared" si="131"/>
        <v>41.75162987058616</v>
      </c>
      <c r="AE174" s="130">
        <f t="shared" si="132"/>
        <v>-12.341704055322724</v>
      </c>
      <c r="AF174" s="130">
        <f t="shared" si="133"/>
        <v>0.09159834435946058</v>
      </c>
      <c r="AG174" s="130">
        <f t="shared" si="134"/>
        <v>0.03281868622691684</v>
      </c>
      <c r="AH174" s="130">
        <f t="shared" si="135"/>
        <v>122.64640449427871</v>
      </c>
      <c r="AI174" s="130">
        <f t="shared" si="136"/>
        <v>33.10019177327481</v>
      </c>
      <c r="AJ174" s="130">
        <f t="shared" si="137"/>
        <v>13.175906470369913</v>
      </c>
      <c r="AK174" s="130">
        <f t="shared" si="146"/>
        <v>389.6935112847222</v>
      </c>
      <c r="AL174" s="130">
        <f t="shared" si="138"/>
        <v>3535.8487455680206</v>
      </c>
      <c r="AM174" s="130">
        <f t="shared" si="139"/>
        <v>2672.3108302405467</v>
      </c>
      <c r="AN174" s="130">
        <f t="shared" si="140"/>
        <v>2601.409510068819</v>
      </c>
      <c r="AO174" s="130">
        <f t="shared" si="141"/>
        <v>2571.991514443096</v>
      </c>
      <c r="AP174" s="130">
        <f t="shared" si="142"/>
        <v>3378.9834763010876</v>
      </c>
      <c r="AQ174" s="130">
        <f t="shared" si="143"/>
        <v>3113.8867923550197</v>
      </c>
      <c r="AR174" s="130">
        <f t="shared" si="147"/>
        <v>300.2793258666992</v>
      </c>
      <c r="AS174" s="130">
        <f t="shared" si="148"/>
        <v>147.62744810333237</v>
      </c>
      <c r="AT174" s="130">
        <f t="shared" si="149"/>
        <v>-32.98086941066259</v>
      </c>
      <c r="AU174" s="130">
        <f t="shared" si="150"/>
        <v>26.15997506944009</v>
      </c>
      <c r="AV174" s="130">
        <f t="shared" si="151"/>
        <v>315.44551163624044</v>
      </c>
      <c r="AW174" s="130">
        <f t="shared" si="152"/>
        <v>29.32464425548205</v>
      </c>
      <c r="AX174" s="130">
        <f t="shared" si="153"/>
        <v>1558.4525820663387</v>
      </c>
      <c r="AY174" s="130">
        <f t="shared" si="154"/>
        <v>620.3597127310846</v>
      </c>
      <c r="AZ174" s="130">
        <f t="shared" si="155"/>
        <v>2664.3890044512555</v>
      </c>
      <c r="BA174" s="130">
        <f t="shared" si="156"/>
        <v>1171.7923512115456</v>
      </c>
      <c r="BB174" s="130">
        <f t="shared" si="157"/>
        <v>24.248371285338017</v>
      </c>
      <c r="BC174" s="130">
        <f t="shared" si="158"/>
        <v>1147.5439799262076</v>
      </c>
      <c r="BD174" s="129">
        <f t="shared" si="159"/>
        <v>7574.465965277591</v>
      </c>
      <c r="BE174" s="129">
        <f t="shared" si="110"/>
        <v>22.8976439990571</v>
      </c>
      <c r="BF174" s="130">
        <f t="shared" si="160"/>
        <v>1.1279729406977375</v>
      </c>
      <c r="BG174" s="137">
        <f t="shared" si="161"/>
        <v>0.2309373619738876</v>
      </c>
      <c r="BH174" s="47"/>
      <c r="BI174" s="47"/>
      <c r="BJ174" s="47"/>
    </row>
    <row r="175" spans="1:62" ht="16.5" thickBot="1">
      <c r="A175" s="108">
        <f>IF(Data!A175&gt;0,Data!A175,"")</f>
        <v>155</v>
      </c>
      <c r="B175" s="109">
        <f>IF(A175&gt;0,IF(Data!$F$5="lb",Data!B175/2.204,Data!B175),"")</f>
        <v>21.196806712072686</v>
      </c>
      <c r="C175" s="109">
        <f>IF(A175&gt;0,Data!C175,"")</f>
        <v>0.06837203353643417</v>
      </c>
      <c r="D175" s="110">
        <f>IF(A175&gt;0,Data!D175,"")</f>
        <v>27.44156265258789</v>
      </c>
      <c r="E175" s="143">
        <f t="shared" si="111"/>
        <v>-0.2801769862272008</v>
      </c>
      <c r="F175" s="144">
        <f t="shared" si="112"/>
        <v>19.35945049856349</v>
      </c>
      <c r="G175" s="145">
        <f t="shared" si="113"/>
        <v>-8.116298170792618</v>
      </c>
      <c r="H175" s="111">
        <f>IF(A175&gt;0,IF(Data!$F$4="F",(Data!F175-32)/1.8,Data!F175),"")</f>
        <v>116.29002041286893</v>
      </c>
      <c r="I175" s="123">
        <f>IF(A175&gt;0,IF(Data!$F$4="F",(Data!G175-32)/1.8,Data!G175),"")</f>
        <v>26.85649871826172</v>
      </c>
      <c r="J175" s="136">
        <f t="shared" si="114"/>
        <v>0.9969711048431583</v>
      </c>
      <c r="K175" s="128">
        <f t="shared" si="115"/>
        <v>0.8684093181963013</v>
      </c>
      <c r="L175" s="128">
        <f t="shared" si="116"/>
        <v>0.8657789974182605</v>
      </c>
      <c r="M175" s="155">
        <f t="shared" si="117"/>
        <v>4.4733944309128395</v>
      </c>
      <c r="N175" s="130">
        <f t="shared" si="118"/>
        <v>21.196806712072686</v>
      </c>
      <c r="O175" s="130">
        <f t="shared" si="119"/>
        <v>81.89514726654464</v>
      </c>
      <c r="P175" s="130">
        <f t="shared" si="109"/>
        <v>19.783998286098377</v>
      </c>
      <c r="Q175" s="130">
        <f t="shared" si="120"/>
        <v>79.0942359785935</v>
      </c>
      <c r="R175" s="129">
        <f t="shared" si="144"/>
        <v>8901.167106119246</v>
      </c>
      <c r="S175" s="130">
        <f t="shared" si="121"/>
        <v>4.166666666666667</v>
      </c>
      <c r="T175" s="130">
        <f t="shared" si="122"/>
        <v>6.6</v>
      </c>
      <c r="U175" s="134">
        <f t="shared" si="145"/>
        <v>2.68125</v>
      </c>
      <c r="V175" s="130">
        <f t="shared" si="123"/>
        <v>19887</v>
      </c>
      <c r="W175" s="130">
        <f t="shared" si="124"/>
        <v>19.17</v>
      </c>
      <c r="X175" s="130">
        <f t="shared" si="125"/>
        <v>80.6063634846683</v>
      </c>
      <c r="Y175" s="130">
        <f t="shared" si="126"/>
        <v>21.380998271795303</v>
      </c>
      <c r="Z175" s="130">
        <f t="shared" si="127"/>
        <v>6.607845378443643</v>
      </c>
      <c r="AA175" s="130">
        <f t="shared" si="128"/>
        <v>21.760380967415642</v>
      </c>
      <c r="AB175" s="130">
        <f t="shared" si="129"/>
        <v>0.022754390724188056</v>
      </c>
      <c r="AC175" s="130">
        <f t="shared" si="130"/>
        <v>0.6574806151551424</v>
      </c>
      <c r="AD175" s="130">
        <f t="shared" si="131"/>
        <v>41.73744749282478</v>
      </c>
      <c r="AE175" s="130">
        <f t="shared" si="132"/>
        <v>-12.344543677348502</v>
      </c>
      <c r="AF175" s="130">
        <f t="shared" si="133"/>
        <v>0.1039909496347672</v>
      </c>
      <c r="AG175" s="130">
        <f t="shared" si="134"/>
        <v>0.034608458712990064</v>
      </c>
      <c r="AH175" s="130">
        <f t="shared" si="135"/>
        <v>122.59884417375257</v>
      </c>
      <c r="AI175" s="130">
        <f t="shared" si="136"/>
        <v>33.09661222830266</v>
      </c>
      <c r="AJ175" s="130">
        <f t="shared" si="137"/>
        <v>13.175906470369913</v>
      </c>
      <c r="AK175" s="130">
        <f t="shared" si="146"/>
        <v>389.4400204128689</v>
      </c>
      <c r="AL175" s="130">
        <f t="shared" si="138"/>
        <v>3535.9308691354836</v>
      </c>
      <c r="AM175" s="130">
        <f t="shared" si="139"/>
        <v>2672.6769140419037</v>
      </c>
      <c r="AN175" s="130">
        <f t="shared" si="140"/>
        <v>2601.8402809016793</v>
      </c>
      <c r="AO175" s="130">
        <f t="shared" si="141"/>
        <v>2572.4018023411654</v>
      </c>
      <c r="AP175" s="130">
        <f t="shared" si="142"/>
        <v>3378.3962255486795</v>
      </c>
      <c r="AQ175" s="130">
        <f t="shared" si="143"/>
        <v>3114.426035507156</v>
      </c>
      <c r="AR175" s="130">
        <f t="shared" si="147"/>
        <v>300.0064987182617</v>
      </c>
      <c r="AS175" s="130">
        <f t="shared" si="148"/>
        <v>147.58072898880053</v>
      </c>
      <c r="AT175" s="130">
        <f t="shared" si="149"/>
        <v>-32.992976900831295</v>
      </c>
      <c r="AU175" s="130">
        <f t="shared" si="150"/>
        <v>29.69927865160063</v>
      </c>
      <c r="AV175" s="130">
        <f t="shared" si="151"/>
        <v>315.3734877175048</v>
      </c>
      <c r="AW175" s="130">
        <f t="shared" si="152"/>
        <v>30.923848260408406</v>
      </c>
      <c r="AX175" s="130">
        <f t="shared" si="153"/>
        <v>1558.3018938771497</v>
      </c>
      <c r="AY175" s="130">
        <f t="shared" si="154"/>
        <v>620.366817748422</v>
      </c>
      <c r="AZ175" s="130">
        <f t="shared" si="155"/>
        <v>2669.2530783430548</v>
      </c>
      <c r="BA175" s="130">
        <f t="shared" si="156"/>
        <v>1194.7235731309268</v>
      </c>
      <c r="BB175" s="130">
        <f t="shared" si="157"/>
        <v>26.960624501265812</v>
      </c>
      <c r="BC175" s="130">
        <f t="shared" si="158"/>
        <v>1167.762948629661</v>
      </c>
      <c r="BD175" s="129">
        <f t="shared" si="159"/>
        <v>7706.44353298832</v>
      </c>
      <c r="BE175" s="129">
        <f t="shared" si="110"/>
        <v>27.967252658340104</v>
      </c>
      <c r="BF175" s="130">
        <f t="shared" si="160"/>
        <v>1.3032605705358578</v>
      </c>
      <c r="BG175" s="137">
        <f t="shared" si="161"/>
        <v>0.24784486290706748</v>
      </c>
      <c r="BH175" s="47"/>
      <c r="BI175" s="47"/>
      <c r="BJ175" s="47"/>
    </row>
    <row r="176" spans="1:62" ht="16.5" thickBot="1">
      <c r="A176" s="108">
        <f>IF(Data!A176&gt;0,Data!A176,"")</f>
        <v>156</v>
      </c>
      <c r="B176" s="109">
        <f>IF(A176&gt;0,IF(Data!$F$5="lb",Data!B176/2.204,Data!B176),"")</f>
        <v>20.727526254532773</v>
      </c>
      <c r="C176" s="109">
        <f>IF(A176&gt;0,Data!C176,"")</f>
        <v>0.0654703676700592</v>
      </c>
      <c r="D176" s="110">
        <f>IF(A176&gt;0,Data!D176,"")</f>
        <v>27.44150161743164</v>
      </c>
      <c r="E176" s="143">
        <f t="shared" si="111"/>
        <v>-0.2800994560512088</v>
      </c>
      <c r="F176" s="144">
        <f t="shared" si="112"/>
        <v>19.359620716911067</v>
      </c>
      <c r="G176" s="145">
        <f t="shared" si="113"/>
        <v>-8.114616084355603</v>
      </c>
      <c r="H176" s="111">
        <f>IF(A176&gt;0,IF(Data!$F$4="F",(Data!F176-32)/1.8,Data!F176),"")</f>
        <v>115.92269049750433</v>
      </c>
      <c r="I176" s="123">
        <f>IF(A176&gt;0,IF(Data!$F$4="F",(Data!G176-32)/1.8,Data!G176),"")</f>
        <v>26.716889275444878</v>
      </c>
      <c r="J176" s="136">
        <f t="shared" si="114"/>
        <v>0.9970621852111142</v>
      </c>
      <c r="K176" s="128">
        <f t="shared" si="115"/>
        <v>0.8684919594926738</v>
      </c>
      <c r="L176" s="128">
        <f t="shared" si="116"/>
        <v>0.8659404909700478</v>
      </c>
      <c r="M176" s="155">
        <f t="shared" si="117"/>
        <v>4.474015295163714</v>
      </c>
      <c r="N176" s="130">
        <f t="shared" si="118"/>
        <v>20.727526254532773</v>
      </c>
      <c r="O176" s="130">
        <f t="shared" si="119"/>
        <v>82.29597431987668</v>
      </c>
      <c r="P176" s="130">
        <f t="shared" si="109"/>
        <v>19.353121282281585</v>
      </c>
      <c r="Q176" s="130">
        <f t="shared" si="120"/>
        <v>79.54954399236209</v>
      </c>
      <c r="R176" s="129">
        <f t="shared" si="144"/>
        <v>8311.192815247281</v>
      </c>
      <c r="S176" s="130">
        <f t="shared" si="121"/>
        <v>4.166666666666667</v>
      </c>
      <c r="T176" s="130">
        <f t="shared" si="122"/>
        <v>6.6</v>
      </c>
      <c r="U176" s="134">
        <f t="shared" si="145"/>
        <v>2.68125</v>
      </c>
      <c r="V176" s="130">
        <f t="shared" si="123"/>
        <v>19887</v>
      </c>
      <c r="W176" s="130">
        <f t="shared" si="124"/>
        <v>19.17</v>
      </c>
      <c r="X176" s="130">
        <f t="shared" si="125"/>
        <v>80.6076440992539</v>
      </c>
      <c r="Y176" s="130">
        <f t="shared" si="126"/>
        <v>21.38133795736178</v>
      </c>
      <c r="Z176" s="130">
        <f t="shared" si="127"/>
        <v>6.607033366153105</v>
      </c>
      <c r="AA176" s="130">
        <f t="shared" si="128"/>
        <v>21.758542693899436</v>
      </c>
      <c r="AB176" s="130">
        <f t="shared" si="129"/>
        <v>0.022333707202903952</v>
      </c>
      <c r="AC176" s="130">
        <f t="shared" si="130"/>
        <v>0.6573998199322338</v>
      </c>
      <c r="AD176" s="130">
        <f t="shared" si="131"/>
        <v>41.74248423168167</v>
      </c>
      <c r="AE176" s="130">
        <f t="shared" si="132"/>
        <v>-12.343502140283633</v>
      </c>
      <c r="AF176" s="130">
        <f t="shared" si="133"/>
        <v>0.09958987770457257</v>
      </c>
      <c r="AG176" s="130">
        <f t="shared" si="134"/>
        <v>0.033972791786292485</v>
      </c>
      <c r="AH176" s="130">
        <f t="shared" si="135"/>
        <v>122.61585971770286</v>
      </c>
      <c r="AI176" s="130">
        <f t="shared" si="136"/>
        <v>33.097883562156056</v>
      </c>
      <c r="AJ176" s="130">
        <f t="shared" si="137"/>
        <v>13.175906470369913</v>
      </c>
      <c r="AK176" s="130">
        <f t="shared" si="146"/>
        <v>389.0726904975043</v>
      </c>
      <c r="AL176" s="130">
        <f t="shared" si="138"/>
        <v>3526.2717726045416</v>
      </c>
      <c r="AM176" s="130">
        <f t="shared" si="139"/>
        <v>2665.668100761753</v>
      </c>
      <c r="AN176" s="130">
        <f t="shared" si="140"/>
        <v>2595.088712973836</v>
      </c>
      <c r="AO176" s="130">
        <f t="shared" si="141"/>
        <v>2565.711625680983</v>
      </c>
      <c r="AP176" s="130">
        <f t="shared" si="142"/>
        <v>3368.527756175237</v>
      </c>
      <c r="AQ176" s="130">
        <f t="shared" si="143"/>
        <v>3106.367032896271</v>
      </c>
      <c r="AR176" s="130">
        <f t="shared" si="147"/>
        <v>299.86688927544486</v>
      </c>
      <c r="AS176" s="130">
        <f t="shared" si="148"/>
        <v>147.19534386456925</v>
      </c>
      <c r="AT176" s="130">
        <f t="shared" si="149"/>
        <v>-32.90367990703851</v>
      </c>
      <c r="AU176" s="130">
        <f t="shared" si="150"/>
        <v>28.441682828807686</v>
      </c>
      <c r="AV176" s="130">
        <f t="shared" si="151"/>
        <v>314.5969367705788</v>
      </c>
      <c r="AW176" s="130">
        <f t="shared" si="152"/>
        <v>30.35552273740586</v>
      </c>
      <c r="AX176" s="130">
        <f t="shared" si="153"/>
        <v>1558.0950167005608</v>
      </c>
      <c r="AY176" s="130">
        <f t="shared" si="154"/>
        <v>620.2606330837765</v>
      </c>
      <c r="AZ176" s="130">
        <f t="shared" si="155"/>
        <v>2666.0414560786603</v>
      </c>
      <c r="BA176" s="130">
        <f t="shared" si="156"/>
        <v>1114.1944282653171</v>
      </c>
      <c r="BB176" s="130">
        <f t="shared" si="157"/>
        <v>24.416673981590584</v>
      </c>
      <c r="BC176" s="130">
        <f t="shared" si="158"/>
        <v>1089.7777542837266</v>
      </c>
      <c r="BD176" s="129">
        <f t="shared" si="159"/>
        <v>7196.998386981964</v>
      </c>
      <c r="BE176" s="129">
        <f t="shared" si="110"/>
        <v>25.173697117831903</v>
      </c>
      <c r="BF176" s="130">
        <f t="shared" si="160"/>
        <v>1.1653793397389638</v>
      </c>
      <c r="BG176" s="137">
        <f t="shared" si="161"/>
        <v>0.22716703213808093</v>
      </c>
      <c r="BH176" s="47"/>
      <c r="BI176" s="47"/>
      <c r="BJ176" s="47"/>
    </row>
    <row r="177" spans="1:62" ht="16.5" thickBot="1">
      <c r="A177" s="108">
        <f>IF(Data!A177&gt;0,Data!A177,"")</f>
        <v>157</v>
      </c>
      <c r="B177" s="109">
        <f>IF(A177&gt;0,IF(Data!$F$5="lb",Data!B177/2.204,Data!B177),"")</f>
        <v>20.28682314116379</v>
      </c>
      <c r="C177" s="109">
        <f>IF(A177&gt;0,Data!C177,"")</f>
        <v>0.06837203353643417</v>
      </c>
      <c r="D177" s="110">
        <f>IF(A177&gt;0,Data!D177,"")</f>
        <v>27.441410064697266</v>
      </c>
      <c r="E177" s="143">
        <f t="shared" si="111"/>
        <v>-0.2801729936010541</v>
      </c>
      <c r="F177" s="144">
        <f t="shared" si="112"/>
        <v>19.359459265313294</v>
      </c>
      <c r="G177" s="145">
        <f t="shared" si="113"/>
        <v>-8.116136816152189</v>
      </c>
      <c r="H177" s="111">
        <f>IF(A177&gt;0,IF(Data!$F$4="F",(Data!F177-32)/1.8,Data!F177),"")</f>
        <v>115.11326260036893</v>
      </c>
      <c r="I177" s="123">
        <f>IF(A177&gt;0,IF(Data!$F$4="F",(Data!G177-32)/1.8,Data!G177),"")</f>
        <v>26.617626614040798</v>
      </c>
      <c r="J177" s="136">
        <f t="shared" si="114"/>
        <v>0.9969711054944614</v>
      </c>
      <c r="K177" s="128">
        <f t="shared" si="115"/>
        <v>0.868719773112608</v>
      </c>
      <c r="L177" s="128">
        <f t="shared" si="116"/>
        <v>0.8660885125649745</v>
      </c>
      <c r="M177" s="155">
        <f t="shared" si="117"/>
        <v>4.473418778037702</v>
      </c>
      <c r="N177" s="130">
        <f t="shared" si="118"/>
        <v>20.28682314116379</v>
      </c>
      <c r="O177" s="130">
        <f t="shared" si="119"/>
        <v>82.67239257358355</v>
      </c>
      <c r="P177" s="130">
        <f t="shared" si="109"/>
        <v>18.948156498473566</v>
      </c>
      <c r="Q177" s="130">
        <f t="shared" si="120"/>
        <v>79.97747054617801</v>
      </c>
      <c r="R177" s="129">
        <f t="shared" si="144"/>
        <v>7836.187028309986</v>
      </c>
      <c r="S177" s="130">
        <f t="shared" si="121"/>
        <v>4.166666666666667</v>
      </c>
      <c r="T177" s="130">
        <f t="shared" si="122"/>
        <v>6.6</v>
      </c>
      <c r="U177" s="134">
        <f t="shared" si="145"/>
        <v>2.68125</v>
      </c>
      <c r="V177" s="130">
        <f t="shared" si="123"/>
        <v>19887</v>
      </c>
      <c r="W177" s="130">
        <f t="shared" si="124"/>
        <v>19.17</v>
      </c>
      <c r="X177" s="130">
        <f t="shared" si="125"/>
        <v>80.60635471791849</v>
      </c>
      <c r="Y177" s="130">
        <f t="shared" si="126"/>
        <v>21.380995946397476</v>
      </c>
      <c r="Z177" s="130">
        <f t="shared" si="127"/>
        <v>6.607808695777352</v>
      </c>
      <c r="AA177" s="130">
        <f t="shared" si="128"/>
        <v>21.76026042772139</v>
      </c>
      <c r="AB177" s="130">
        <f t="shared" si="129"/>
        <v>0.02275413417193306</v>
      </c>
      <c r="AC177" s="130">
        <f t="shared" si="130"/>
        <v>0.6574769652298466</v>
      </c>
      <c r="AD177" s="130">
        <f t="shared" si="131"/>
        <v>41.73744711360961</v>
      </c>
      <c r="AE177" s="130">
        <f t="shared" si="132"/>
        <v>-12.344366792097238</v>
      </c>
      <c r="AF177" s="130">
        <f t="shared" si="133"/>
        <v>0.10399152693133831</v>
      </c>
      <c r="AG177" s="130">
        <f t="shared" si="134"/>
        <v>0.03460826063157737</v>
      </c>
      <c r="AH177" s="130">
        <f t="shared" si="135"/>
        <v>122.59951143647963</v>
      </c>
      <c r="AI177" s="130">
        <f t="shared" si="136"/>
        <v>33.09661262446548</v>
      </c>
      <c r="AJ177" s="130">
        <f t="shared" si="137"/>
        <v>13.175906470369913</v>
      </c>
      <c r="AK177" s="130">
        <f t="shared" si="146"/>
        <v>388.2632626003689</v>
      </c>
      <c r="AL177" s="130">
        <f t="shared" si="138"/>
        <v>3497.0331882655196</v>
      </c>
      <c r="AM177" s="130">
        <f t="shared" si="139"/>
        <v>2644.084913022546</v>
      </c>
      <c r="AN177" s="130">
        <f t="shared" si="140"/>
        <v>2574.204111794595</v>
      </c>
      <c r="AO177" s="130">
        <f t="shared" si="141"/>
        <v>2545.0367702417034</v>
      </c>
      <c r="AP177" s="130">
        <f t="shared" si="142"/>
        <v>3339.459363642972</v>
      </c>
      <c r="AQ177" s="130">
        <f t="shared" si="143"/>
        <v>3081.40813656467</v>
      </c>
      <c r="AR177" s="130">
        <f t="shared" si="147"/>
        <v>299.76762661404075</v>
      </c>
      <c r="AS177" s="130">
        <f t="shared" si="148"/>
        <v>145.95723774976972</v>
      </c>
      <c r="AT177" s="130">
        <f t="shared" si="149"/>
        <v>-32.63955399580083</v>
      </c>
      <c r="AU177" s="130">
        <f t="shared" si="150"/>
        <v>29.696569597098673</v>
      </c>
      <c r="AV177" s="130">
        <f t="shared" si="151"/>
        <v>312.0202646195089</v>
      </c>
      <c r="AW177" s="130">
        <f t="shared" si="152"/>
        <v>30.922323730787898</v>
      </c>
      <c r="AX177" s="130">
        <f t="shared" si="153"/>
        <v>1557.2091319188794</v>
      </c>
      <c r="AY177" s="130">
        <f t="shared" si="154"/>
        <v>619.9317770001077</v>
      </c>
      <c r="AZ177" s="130">
        <f t="shared" si="155"/>
        <v>2663.0977506203512</v>
      </c>
      <c r="BA177" s="130">
        <f t="shared" si="156"/>
        <v>1049.3554607800422</v>
      </c>
      <c r="BB177" s="130">
        <f t="shared" si="157"/>
        <v>23.734915663117413</v>
      </c>
      <c r="BC177" s="130">
        <f t="shared" si="158"/>
        <v>1025.6205451169249</v>
      </c>
      <c r="BD177" s="129">
        <f t="shared" si="159"/>
        <v>6786.831567529944</v>
      </c>
      <c r="BE177" s="129">
        <f t="shared" si="110"/>
        <v>24.393306868480046</v>
      </c>
      <c r="BF177" s="130">
        <f t="shared" si="160"/>
        <v>1.1473383377592423</v>
      </c>
      <c r="BG177" s="137">
        <f t="shared" si="161"/>
        <v>0.21819021715374887</v>
      </c>
      <c r="BH177" s="47"/>
      <c r="BI177" s="47"/>
      <c r="BJ177" s="47"/>
    </row>
    <row r="178" spans="1:62" ht="16.5" thickBot="1">
      <c r="A178" s="108">
        <f>IF(Data!A178&gt;0,Data!A178,"")</f>
        <v>158</v>
      </c>
      <c r="B178" s="109">
        <f>IF(A178&gt;0,IF(Data!$F$5="lb",Data!B178/2.204,Data!B178),"")</f>
        <v>19.870221506662247</v>
      </c>
      <c r="C178" s="109">
        <f>IF(A178&gt;0,Data!C178,"")</f>
        <v>0.06544598191976547</v>
      </c>
      <c r="D178" s="110">
        <f>IF(A178&gt;0,Data!D178,"")</f>
        <v>27.441715240478516</v>
      </c>
      <c r="E178" s="143">
        <f t="shared" si="111"/>
        <v>-0.28010440865361075</v>
      </c>
      <c r="F178" s="144">
        <f t="shared" si="112"/>
        <v>19.35960984451467</v>
      </c>
      <c r="G178" s="145">
        <f t="shared" si="113"/>
        <v>-8.11482838692373</v>
      </c>
      <c r="H178" s="111">
        <f>IF(A178&gt;0,IF(Data!$F$4="F",(Data!F178-32)/1.8,Data!F178),"")</f>
        <v>114.74307590060764</v>
      </c>
      <c r="I178" s="123">
        <f>IF(A178&gt;0,IF(Data!$F$4="F",(Data!G178-32)/1.8,Data!G178),"")</f>
        <v>26.78670671251085</v>
      </c>
      <c r="J178" s="136">
        <f t="shared" si="114"/>
        <v>0.9970629491203783</v>
      </c>
      <c r="K178" s="128">
        <f t="shared" si="115"/>
        <v>0.8689021493591552</v>
      </c>
      <c r="L178" s="128">
        <f t="shared" si="116"/>
        <v>0.8663501395370747</v>
      </c>
      <c r="M178" s="155">
        <f t="shared" si="117"/>
        <v>4.473986337108371</v>
      </c>
      <c r="N178" s="130">
        <f t="shared" si="118"/>
        <v>19.870221506662247</v>
      </c>
      <c r="O178" s="130">
        <f t="shared" si="119"/>
        <v>83.02822500361046</v>
      </c>
      <c r="P178" s="130">
        <f t="shared" si="109"/>
        <v>18.56504997657333</v>
      </c>
      <c r="Q178" s="130">
        <f t="shared" si="120"/>
        <v>80.38229946023709</v>
      </c>
      <c r="R178" s="129">
        <f t="shared" si="144"/>
        <v>5979.830810786692</v>
      </c>
      <c r="S178" s="130">
        <f t="shared" si="121"/>
        <v>4.166666666666667</v>
      </c>
      <c r="T178" s="130">
        <f t="shared" si="122"/>
        <v>6.6</v>
      </c>
      <c r="U178" s="134">
        <f t="shared" si="145"/>
        <v>2.68125</v>
      </c>
      <c r="V178" s="130">
        <f t="shared" si="123"/>
        <v>19887</v>
      </c>
      <c r="W178" s="130">
        <f t="shared" si="124"/>
        <v>19.17</v>
      </c>
      <c r="X178" s="130">
        <f t="shared" si="125"/>
        <v>80.60766716452545</v>
      </c>
      <c r="Y178" s="130">
        <f t="shared" si="126"/>
        <v>21.381344075470942</v>
      </c>
      <c r="Z178" s="130">
        <f t="shared" si="127"/>
        <v>6.6070780210057585</v>
      </c>
      <c r="AA178" s="130">
        <f t="shared" si="128"/>
        <v>21.75869640573424</v>
      </c>
      <c r="AB178" s="130">
        <f t="shared" si="129"/>
        <v>0.02233053179238098</v>
      </c>
      <c r="AC178" s="130">
        <f t="shared" si="130"/>
        <v>0.6574042630900729</v>
      </c>
      <c r="AD178" s="130">
        <f t="shared" si="131"/>
        <v>41.74252705860327</v>
      </c>
      <c r="AE178" s="130">
        <f t="shared" si="132"/>
        <v>-12.343741655675714</v>
      </c>
      <c r="AF178" s="130">
        <f t="shared" si="133"/>
        <v>0.09955211061781405</v>
      </c>
      <c r="AG178" s="130">
        <f t="shared" si="134"/>
        <v>0.033967731951445236</v>
      </c>
      <c r="AH178" s="130">
        <f t="shared" si="135"/>
        <v>122.61506608678799</v>
      </c>
      <c r="AI178" s="130">
        <f t="shared" si="136"/>
        <v>33.09789368182575</v>
      </c>
      <c r="AJ178" s="130">
        <f t="shared" si="137"/>
        <v>13.175906470369913</v>
      </c>
      <c r="AK178" s="130">
        <f t="shared" si="146"/>
        <v>387.89307590060764</v>
      </c>
      <c r="AL178" s="130">
        <f t="shared" si="138"/>
        <v>3475.466795138653</v>
      </c>
      <c r="AM178" s="130">
        <f t="shared" si="139"/>
        <v>2627.8930259370036</v>
      </c>
      <c r="AN178" s="130">
        <f t="shared" si="140"/>
        <v>2558.4681287217313</v>
      </c>
      <c r="AO178" s="130">
        <f t="shared" si="141"/>
        <v>2529.473217926338</v>
      </c>
      <c r="AP178" s="130">
        <f t="shared" si="142"/>
        <v>3318.614383619795</v>
      </c>
      <c r="AQ178" s="130">
        <f t="shared" si="143"/>
        <v>3062.5805145012228</v>
      </c>
      <c r="AR178" s="130">
        <f t="shared" si="147"/>
        <v>299.93670671251084</v>
      </c>
      <c r="AS178" s="130">
        <f t="shared" si="148"/>
        <v>145.07476673735243</v>
      </c>
      <c r="AT178" s="130">
        <f t="shared" si="149"/>
        <v>-32.43803261091829</v>
      </c>
      <c r="AU178" s="130">
        <f t="shared" si="150"/>
        <v>28.42725134222971</v>
      </c>
      <c r="AV178" s="130">
        <f t="shared" si="151"/>
        <v>310.1515257807982</v>
      </c>
      <c r="AW178" s="130">
        <f t="shared" si="152"/>
        <v>30.349306206803693</v>
      </c>
      <c r="AX178" s="130">
        <f t="shared" si="153"/>
        <v>1556.646251557189</v>
      </c>
      <c r="AY178" s="130">
        <f t="shared" si="154"/>
        <v>619.6837060127402</v>
      </c>
      <c r="AZ178" s="130">
        <f t="shared" si="155"/>
        <v>2657.894775026195</v>
      </c>
      <c r="BA178" s="130">
        <f t="shared" si="156"/>
        <v>799.2035534535427</v>
      </c>
      <c r="BB178" s="130">
        <f t="shared" si="157"/>
        <v>17.56301613255893</v>
      </c>
      <c r="BC178" s="130">
        <f t="shared" si="158"/>
        <v>781.6405373209838</v>
      </c>
      <c r="BD178" s="129">
        <f t="shared" si="159"/>
        <v>5180.62725733315</v>
      </c>
      <c r="BE178" s="129">
        <f t="shared" si="110"/>
        <v>22.376918964491914</v>
      </c>
      <c r="BF178" s="130">
        <f t="shared" si="160"/>
        <v>0.838162306724744</v>
      </c>
      <c r="BG178" s="137">
        <f t="shared" si="161"/>
        <v>0.16342035709421895</v>
      </c>
      <c r="BH178" s="47"/>
      <c r="BI178" s="47"/>
      <c r="BJ178" s="47"/>
    </row>
    <row r="179" spans="1:62" ht="16.5" thickBot="1">
      <c r="A179" s="108">
        <f>IF(Data!A179&gt;0,Data!A179,"")</f>
        <v>159</v>
      </c>
      <c r="B179" s="109">
        <f>IF(A179&gt;0,IF(Data!$F$5="lb",Data!B179/2.204,Data!B179),"")</f>
        <v>19.63299891477055</v>
      </c>
      <c r="C179" s="109">
        <f>IF(A179&gt;0,Data!C179,"")</f>
        <v>0.060227859765291214</v>
      </c>
      <c r="D179" s="110">
        <f>IF(A179&gt;0,Data!D179,"")</f>
        <v>27.441410064697266</v>
      </c>
      <c r="E179" s="143">
        <f t="shared" si="111"/>
        <v>-0.2799598282528164</v>
      </c>
      <c r="F179" s="144">
        <f t="shared" si="112"/>
        <v>19.359927178812196</v>
      </c>
      <c r="G179" s="145">
        <f t="shared" si="113"/>
        <v>-8.111596815767715</v>
      </c>
      <c r="H179" s="111">
        <f>IF(A179&gt;0,IF(Data!$F$4="F",(Data!F179-32)/1.8,Data!F179),"")</f>
        <v>114.36418321397569</v>
      </c>
      <c r="I179" s="123">
        <f>IF(A179&gt;0,IF(Data!$F$4="F",(Data!G179-32)/1.8,Data!G179),"")</f>
        <v>27.031656901041664</v>
      </c>
      <c r="J179" s="136">
        <f t="shared" si="114"/>
        <v>0.9972267987744834</v>
      </c>
      <c r="K179" s="128">
        <f t="shared" si="115"/>
        <v>0.8691162810142066</v>
      </c>
      <c r="L179" s="128">
        <f t="shared" si="116"/>
        <v>0.8667060466785815</v>
      </c>
      <c r="M179" s="155">
        <f t="shared" si="117"/>
        <v>4.475134422887632</v>
      </c>
      <c r="N179" s="130">
        <f t="shared" si="118"/>
        <v>19.63299891477055</v>
      </c>
      <c r="O179" s="130">
        <f t="shared" si="119"/>
        <v>83.23084420703987</v>
      </c>
      <c r="P179" s="130">
        <f t="shared" si="109"/>
        <v>18.346775615405562</v>
      </c>
      <c r="Q179" s="130">
        <f t="shared" si="120"/>
        <v>80.61295012146887</v>
      </c>
      <c r="R179" s="129">
        <f t="shared" si="144"/>
        <v>8093.964555391425</v>
      </c>
      <c r="S179" s="130">
        <f t="shared" si="121"/>
        <v>4.166666666666667</v>
      </c>
      <c r="T179" s="130">
        <f t="shared" si="122"/>
        <v>6.6</v>
      </c>
      <c r="U179" s="134">
        <f t="shared" si="145"/>
        <v>2.68125</v>
      </c>
      <c r="V179" s="130">
        <f t="shared" si="123"/>
        <v>19887</v>
      </c>
      <c r="W179" s="130">
        <f t="shared" si="124"/>
        <v>19.17</v>
      </c>
      <c r="X179" s="130">
        <f t="shared" si="125"/>
        <v>80.60995889130515</v>
      </c>
      <c r="Y179" s="130">
        <f t="shared" si="126"/>
        <v>21.381951960558396</v>
      </c>
      <c r="Z179" s="130">
        <f t="shared" si="127"/>
        <v>6.605570785041238</v>
      </c>
      <c r="AA179" s="130">
        <f t="shared" si="128"/>
        <v>21.755236230884208</v>
      </c>
      <c r="AB179" s="130">
        <f t="shared" si="129"/>
        <v>0.021573679875938723</v>
      </c>
      <c r="AC179" s="130">
        <f t="shared" si="130"/>
        <v>0.6572542931116032</v>
      </c>
      <c r="AD179" s="130">
        <f t="shared" si="131"/>
        <v>41.75158740277358</v>
      </c>
      <c r="AE179" s="130">
        <f t="shared" si="132"/>
        <v>-12.341641432824156</v>
      </c>
      <c r="AF179" s="130">
        <f t="shared" si="133"/>
        <v>0.0916355517134133</v>
      </c>
      <c r="AG179" s="130">
        <f t="shared" si="134"/>
        <v>0.0328239466855418</v>
      </c>
      <c r="AH179" s="130">
        <f t="shared" si="135"/>
        <v>122.6465307813781</v>
      </c>
      <c r="AI179" s="130">
        <f t="shared" si="136"/>
        <v>33.10018125235756</v>
      </c>
      <c r="AJ179" s="130">
        <f t="shared" si="137"/>
        <v>13.175906470369913</v>
      </c>
      <c r="AK179" s="130">
        <f t="shared" si="146"/>
        <v>387.5141832139757</v>
      </c>
      <c r="AL179" s="130">
        <f t="shared" si="138"/>
        <v>3450.646945540101</v>
      </c>
      <c r="AM179" s="130">
        <f t="shared" si="139"/>
        <v>2609.201687447629</v>
      </c>
      <c r="AN179" s="130">
        <f t="shared" si="140"/>
        <v>2540.289081857906</v>
      </c>
      <c r="AO179" s="130">
        <f t="shared" si="141"/>
        <v>2511.4963122698155</v>
      </c>
      <c r="AP179" s="130">
        <f t="shared" si="142"/>
        <v>3294.7491149861244</v>
      </c>
      <c r="AQ179" s="130">
        <f t="shared" si="143"/>
        <v>3040.825395015298</v>
      </c>
      <c r="AR179" s="130">
        <f t="shared" si="147"/>
        <v>300.18165690104166</v>
      </c>
      <c r="AS179" s="130">
        <f t="shared" si="148"/>
        <v>144.0699875428312</v>
      </c>
      <c r="AT179" s="130">
        <f t="shared" si="149"/>
        <v>-32.20183165239836</v>
      </c>
      <c r="AU179" s="130">
        <f t="shared" si="150"/>
        <v>26.165000477561577</v>
      </c>
      <c r="AV179" s="130">
        <f t="shared" si="151"/>
        <v>308.0263097701175</v>
      </c>
      <c r="AW179" s="130">
        <f t="shared" si="152"/>
        <v>29.326579755107684</v>
      </c>
      <c r="AX179" s="130">
        <f t="shared" si="153"/>
        <v>1556.0337412166878</v>
      </c>
      <c r="AY179" s="130">
        <f t="shared" si="154"/>
        <v>619.397062593142</v>
      </c>
      <c r="AZ179" s="130">
        <f t="shared" si="155"/>
        <v>2650.8168497030492</v>
      </c>
      <c r="BA179" s="130">
        <f t="shared" si="156"/>
        <v>1078.8765336315603</v>
      </c>
      <c r="BB179" s="130">
        <f t="shared" si="157"/>
        <v>22.44612507146408</v>
      </c>
      <c r="BC179" s="130">
        <f t="shared" si="158"/>
        <v>1056.430408560096</v>
      </c>
      <c r="BD179" s="129">
        <f t="shared" si="159"/>
        <v>7015.088021759865</v>
      </c>
      <c r="BE179" s="129">
        <f t="shared" si="110"/>
        <v>12.037973501760794</v>
      </c>
      <c r="BF179" s="130">
        <f t="shared" si="160"/>
        <v>1.0442730131391835</v>
      </c>
      <c r="BG179" s="137">
        <f t="shared" si="161"/>
        <v>0.21374836710682005</v>
      </c>
      <c r="BH179" s="47"/>
      <c r="BI179" s="47"/>
      <c r="BJ179" s="47"/>
    </row>
    <row r="180" spans="1:62" ht="16.5" thickBot="1">
      <c r="A180" s="108">
        <f>IF(Data!A180&gt;0,Data!A180,"")</f>
        <v>160</v>
      </c>
      <c r="B180" s="109">
        <f>IF(A180&gt;0,IF(Data!$F$5="lb",Data!B180/2.204,Data!B180),"")</f>
        <v>18.986059836164358</v>
      </c>
      <c r="C180" s="109">
        <f>IF(A180&gt;0,Data!C180,"")</f>
        <v>0.05780167877674103</v>
      </c>
      <c r="D180" s="110">
        <f>IF(A180&gt;0,Data!D180,"")</f>
        <v>27.441532135009766</v>
      </c>
      <c r="E180" s="143">
        <f t="shared" si="111"/>
        <v>-0.2798994976186948</v>
      </c>
      <c r="F180" s="144">
        <f t="shared" si="112"/>
        <v>19.360059558660488</v>
      </c>
      <c r="G180" s="145">
        <f t="shared" si="113"/>
        <v>-8.110373415737648</v>
      </c>
      <c r="H180" s="111">
        <f>IF(A180&gt;0,IF(Data!$F$4="F",(Data!F180-32)/1.8,Data!F180),"")</f>
        <v>113.9680904812283</v>
      </c>
      <c r="I180" s="123">
        <f>IF(A180&gt;0,IF(Data!$F$4="F",(Data!G180-32)/1.8,Data!G180),"")</f>
        <v>26.698434617784287</v>
      </c>
      <c r="J180" s="136">
        <f t="shared" si="114"/>
        <v>0.99730300229713</v>
      </c>
      <c r="K180" s="128">
        <f t="shared" si="115"/>
        <v>0.8691455678901036</v>
      </c>
      <c r="L180" s="128">
        <f t="shared" si="116"/>
        <v>0.8668014842900444</v>
      </c>
      <c r="M180" s="155">
        <f t="shared" si="117"/>
        <v>4.475626248730015</v>
      </c>
      <c r="N180" s="130">
        <f t="shared" si="118"/>
        <v>18.986059836164358</v>
      </c>
      <c r="O180" s="130">
        <f t="shared" si="119"/>
        <v>83.78341502135086</v>
      </c>
      <c r="P180" s="130">
        <f t="shared" si="109"/>
        <v>17.751054446288077</v>
      </c>
      <c r="Q180" s="130">
        <f t="shared" si="120"/>
        <v>81.24244907329992</v>
      </c>
      <c r="R180" s="129">
        <f t="shared" si="144"/>
        <v>5832.077574537287</v>
      </c>
      <c r="S180" s="130">
        <f t="shared" si="121"/>
        <v>4.166666666666667</v>
      </c>
      <c r="T180" s="130">
        <f t="shared" si="122"/>
        <v>6.6</v>
      </c>
      <c r="U180" s="134">
        <f t="shared" si="145"/>
        <v>2.68125</v>
      </c>
      <c r="V180" s="130">
        <f t="shared" si="123"/>
        <v>19887</v>
      </c>
      <c r="W180" s="130">
        <f t="shared" si="124"/>
        <v>19.17</v>
      </c>
      <c r="X180" s="130">
        <f t="shared" si="125"/>
        <v>80.61103960195115</v>
      </c>
      <c r="Y180" s="130">
        <f t="shared" si="126"/>
        <v>21.3822386212072</v>
      </c>
      <c r="Z180" s="130">
        <f t="shared" si="127"/>
        <v>6.604933448876641</v>
      </c>
      <c r="AA180" s="130">
        <f t="shared" si="128"/>
        <v>21.753835934893917</v>
      </c>
      <c r="AB180" s="130">
        <f t="shared" si="129"/>
        <v>0.021222223199497847</v>
      </c>
      <c r="AC180" s="130">
        <f t="shared" si="130"/>
        <v>0.6571908781632257</v>
      </c>
      <c r="AD180" s="130">
        <f t="shared" si="131"/>
        <v>41.75580192425334</v>
      </c>
      <c r="AE180" s="130">
        <f t="shared" si="132"/>
        <v>-12.340970766979032</v>
      </c>
      <c r="AF180" s="130">
        <f t="shared" si="133"/>
        <v>0.08795264921858044</v>
      </c>
      <c r="AG180" s="130">
        <f t="shared" si="134"/>
        <v>0.032292327700608935</v>
      </c>
      <c r="AH180" s="130">
        <f t="shared" si="135"/>
        <v>122.66000986996335</v>
      </c>
      <c r="AI180" s="130">
        <f t="shared" si="136"/>
        <v>33.101244490327424</v>
      </c>
      <c r="AJ180" s="130">
        <f t="shared" si="137"/>
        <v>13.175906470369913</v>
      </c>
      <c r="AK180" s="130">
        <f t="shared" si="146"/>
        <v>387.11809048122825</v>
      </c>
      <c r="AL180" s="130">
        <f t="shared" si="138"/>
        <v>3447.239951615038</v>
      </c>
      <c r="AM180" s="130">
        <f t="shared" si="139"/>
        <v>2607.036918392692</v>
      </c>
      <c r="AN180" s="130">
        <f t="shared" si="140"/>
        <v>2538.282122821136</v>
      </c>
      <c r="AO180" s="130">
        <f t="shared" si="141"/>
        <v>2509.4909869488592</v>
      </c>
      <c r="AP180" s="130">
        <f t="shared" si="142"/>
        <v>3290.595116036383</v>
      </c>
      <c r="AQ180" s="130">
        <f t="shared" si="143"/>
        <v>3038.4549188869314</v>
      </c>
      <c r="AR180" s="130">
        <f t="shared" si="147"/>
        <v>299.8484346177843</v>
      </c>
      <c r="AS180" s="130">
        <f t="shared" si="148"/>
        <v>143.9422686050102</v>
      </c>
      <c r="AT180" s="130">
        <f t="shared" si="149"/>
        <v>-32.17336639831931</v>
      </c>
      <c r="AU180" s="130">
        <f t="shared" si="150"/>
        <v>25.113232697480015</v>
      </c>
      <c r="AV180" s="130">
        <f t="shared" si="151"/>
        <v>307.81418922773116</v>
      </c>
      <c r="AW180" s="130">
        <f t="shared" si="152"/>
        <v>28.851470232480313</v>
      </c>
      <c r="AX180" s="130">
        <f t="shared" si="153"/>
        <v>1556.0052581381208</v>
      </c>
      <c r="AY180" s="130">
        <f t="shared" si="154"/>
        <v>619.3658294213843</v>
      </c>
      <c r="AZ180" s="130">
        <f t="shared" si="155"/>
        <v>2648.9188819238875</v>
      </c>
      <c r="BA180" s="130">
        <f t="shared" si="156"/>
        <v>776.8240764336847</v>
      </c>
      <c r="BB180" s="130">
        <f t="shared" si="157"/>
        <v>15.729051947685978</v>
      </c>
      <c r="BC180" s="130">
        <f t="shared" si="158"/>
        <v>761.0950244859987</v>
      </c>
      <c r="BD180" s="129">
        <f t="shared" si="159"/>
        <v>5055.253498103602</v>
      </c>
      <c r="BE180" s="129">
        <f t="shared" si="110"/>
        <v>31.951620068631872</v>
      </c>
      <c r="BF180" s="130">
        <f t="shared" si="160"/>
        <v>0.7222058051796232</v>
      </c>
      <c r="BG180" s="137">
        <f t="shared" si="161"/>
        <v>0.15152118285298383</v>
      </c>
      <c r="BH180" s="47"/>
      <c r="BI180" s="47"/>
      <c r="BJ180" s="47"/>
    </row>
    <row r="181" spans="1:62" ht="16.5" thickBot="1">
      <c r="A181" s="108">
        <f>IF(Data!A181&gt;0,Data!A181,"")</f>
        <v>161</v>
      </c>
      <c r="B181" s="109">
        <f>IF(A181&gt;0,IF(Data!$F$5="lb",Data!B181/2.204,Data!B181),"")</f>
        <v>18.996044858181325</v>
      </c>
      <c r="C181" s="109">
        <f>IF(A181&gt;0,Data!C181,"")</f>
        <v>0.05778948590159416</v>
      </c>
      <c r="D181" s="110">
        <f>IF(A181&gt;0,Data!D181,"")</f>
        <v>27.44168472290039</v>
      </c>
      <c r="E181" s="143">
        <f t="shared" si="111"/>
        <v>-0.279903173998847</v>
      </c>
      <c r="F181" s="144">
        <f t="shared" si="112"/>
        <v>19.36005149243735</v>
      </c>
      <c r="G181" s="145">
        <f t="shared" si="113"/>
        <v>-8.110527973413838</v>
      </c>
      <c r="H181" s="111">
        <f>IF(A181&gt;0,IF(Data!$F$4="F",(Data!F181-32)/1.8,Data!F181),"")</f>
        <v>113.65481906467014</v>
      </c>
      <c r="I181" s="123">
        <f>IF(A181&gt;0,IF(Data!$F$4="F",(Data!G181-32)/1.8,Data!G181),"")</f>
        <v>26.95429484049479</v>
      </c>
      <c r="J181" s="136">
        <f t="shared" si="114"/>
        <v>0.9973033828113301</v>
      </c>
      <c r="K181" s="128">
        <f t="shared" si="115"/>
        <v>0.8693302789059916</v>
      </c>
      <c r="L181" s="128">
        <f t="shared" si="116"/>
        <v>0.8669860279332625</v>
      </c>
      <c r="M181" s="155">
        <f t="shared" si="117"/>
        <v>4.475604448629809</v>
      </c>
      <c r="N181" s="130">
        <f t="shared" si="118"/>
        <v>18.996044858181325</v>
      </c>
      <c r="O181" s="130">
        <f t="shared" si="119"/>
        <v>83.77488650308804</v>
      </c>
      <c r="P181" s="130">
        <f t="shared" si="109"/>
        <v>17.7602540108863</v>
      </c>
      <c r="Q181" s="130">
        <f t="shared" si="120"/>
        <v>81.23272788732888</v>
      </c>
      <c r="R181" s="129">
        <f t="shared" si="144"/>
        <v>4932.387641692848</v>
      </c>
      <c r="S181" s="130">
        <f t="shared" si="121"/>
        <v>4.166666666666667</v>
      </c>
      <c r="T181" s="130">
        <f t="shared" si="122"/>
        <v>6.6</v>
      </c>
      <c r="U181" s="134">
        <f t="shared" si="145"/>
        <v>2.68125</v>
      </c>
      <c r="V181" s="130">
        <f t="shared" si="123"/>
        <v>19887</v>
      </c>
      <c r="W181" s="130">
        <f t="shared" si="124"/>
        <v>19.17</v>
      </c>
      <c r="X181" s="130">
        <f t="shared" si="125"/>
        <v>80.61105376461185</v>
      </c>
      <c r="Y181" s="130">
        <f t="shared" si="126"/>
        <v>21.382242377881127</v>
      </c>
      <c r="Z181" s="130">
        <f t="shared" si="127"/>
        <v>6.604966781102857</v>
      </c>
      <c r="AA181" s="130">
        <f t="shared" si="128"/>
        <v>21.753948952719583</v>
      </c>
      <c r="AB181" s="130">
        <f t="shared" si="129"/>
        <v>0.021220712459921742</v>
      </c>
      <c r="AC181" s="130">
        <f t="shared" si="130"/>
        <v>0.6571941947197343</v>
      </c>
      <c r="AD181" s="130">
        <f t="shared" si="131"/>
        <v>41.75582338277214</v>
      </c>
      <c r="AE181" s="130">
        <f t="shared" si="132"/>
        <v>-12.34114366587282</v>
      </c>
      <c r="AF181" s="130">
        <f t="shared" si="133"/>
        <v>0.0879336524362315</v>
      </c>
      <c r="AG181" s="130">
        <f t="shared" si="134"/>
        <v>0.032289865964156124</v>
      </c>
      <c r="AH181" s="130">
        <f t="shared" si="135"/>
        <v>122.65941241156136</v>
      </c>
      <c r="AI181" s="130">
        <f t="shared" si="136"/>
        <v>33.101249413800325</v>
      </c>
      <c r="AJ181" s="130">
        <f t="shared" si="137"/>
        <v>13.175906470369913</v>
      </c>
      <c r="AK181" s="130">
        <f t="shared" si="146"/>
        <v>386.80481906467014</v>
      </c>
      <c r="AL181" s="130">
        <f t="shared" si="138"/>
        <v>3424.686499496293</v>
      </c>
      <c r="AM181" s="130">
        <f t="shared" si="139"/>
        <v>2590.0126509866013</v>
      </c>
      <c r="AN181" s="130">
        <f t="shared" si="140"/>
        <v>2521.7147037328873</v>
      </c>
      <c r="AO181" s="130">
        <f t="shared" si="141"/>
        <v>2493.109836829712</v>
      </c>
      <c r="AP181" s="130">
        <f t="shared" si="142"/>
        <v>3268.9960305031072</v>
      </c>
      <c r="AQ181" s="130">
        <f t="shared" si="143"/>
        <v>3018.625359251512</v>
      </c>
      <c r="AR181" s="130">
        <f t="shared" si="147"/>
        <v>300.1042948404948</v>
      </c>
      <c r="AS181" s="130">
        <f t="shared" si="148"/>
        <v>143.0006046143314</v>
      </c>
      <c r="AT181" s="130">
        <f t="shared" si="149"/>
        <v>-31.963718222253767</v>
      </c>
      <c r="AU181" s="130">
        <f t="shared" si="150"/>
        <v>25.10635168818784</v>
      </c>
      <c r="AV181" s="130">
        <f t="shared" si="151"/>
        <v>305.8033876630161</v>
      </c>
      <c r="AW181" s="130">
        <f t="shared" si="152"/>
        <v>28.84857337085166</v>
      </c>
      <c r="AX181" s="130">
        <f t="shared" si="153"/>
        <v>1555.3491063787935</v>
      </c>
      <c r="AY181" s="130">
        <f t="shared" si="154"/>
        <v>619.1045569982795</v>
      </c>
      <c r="AZ181" s="130">
        <f t="shared" si="155"/>
        <v>2645.248862491206</v>
      </c>
      <c r="BA181" s="130">
        <f t="shared" si="156"/>
        <v>656.0764719944532</v>
      </c>
      <c r="BB181" s="130">
        <f t="shared" si="157"/>
        <v>13.300720809735783</v>
      </c>
      <c r="BC181" s="130">
        <f t="shared" si="158"/>
        <v>642.7757511847174</v>
      </c>
      <c r="BD181" s="129">
        <f t="shared" si="159"/>
        <v>4276.311169698394</v>
      </c>
      <c r="BE181" s="129">
        <f t="shared" si="110"/>
        <v>-0.4933508099222284</v>
      </c>
      <c r="BF181" s="130">
        <f t="shared" si="160"/>
        <v>0.610662246484171</v>
      </c>
      <c r="BG181" s="137">
        <f t="shared" si="161"/>
        <v>0.12813688205040252</v>
      </c>
      <c r="BH181" s="47"/>
      <c r="BI181" s="47"/>
      <c r="BJ181" s="47"/>
    </row>
    <row r="182" spans="1:62" ht="16.5" thickBot="1">
      <c r="A182" s="108">
        <f>IF(Data!A182&gt;0,Data!A182,"")</f>
        <v>162</v>
      </c>
      <c r="B182" s="109">
        <f>IF(A182&gt;0,IF(Data!$F$5="lb",Data!B182/2.204,Data!B182),"")</f>
        <v>18.447919246722044</v>
      </c>
      <c r="C182" s="109">
        <f>IF(A182&gt;0,Data!C182,"")</f>
        <v>0.05780167877674103</v>
      </c>
      <c r="D182" s="110">
        <f>IF(A182&gt;0,Data!D182,"")</f>
        <v>27.441410064697266</v>
      </c>
      <c r="E182" s="143">
        <f t="shared" si="111"/>
        <v>-0.2798963010582196</v>
      </c>
      <c r="F182" s="144">
        <f t="shared" si="112"/>
        <v>19.36006657206033</v>
      </c>
      <c r="G182" s="145">
        <f t="shared" si="113"/>
        <v>-8.110244332025307</v>
      </c>
      <c r="H182" s="111">
        <f>IF(A182&gt;0,IF(Data!$F$4="F",(Data!F182-32)/1.8,Data!F182),"")</f>
        <v>113.19411383734808</v>
      </c>
      <c r="I182" s="123">
        <f>IF(A182&gt;0,IF(Data!$F$4="F",(Data!G182-32)/1.8,Data!G182),"")</f>
        <v>26.905831231011284</v>
      </c>
      <c r="J182" s="136">
        <f t="shared" si="114"/>
        <v>0.997303004293049</v>
      </c>
      <c r="K182" s="128">
        <f t="shared" si="115"/>
        <v>0.8694659136197249</v>
      </c>
      <c r="L182" s="128">
        <f t="shared" si="116"/>
        <v>0.8671209677833522</v>
      </c>
      <c r="M182" s="155">
        <f t="shared" si="117"/>
        <v>4.4756457449116285</v>
      </c>
      <c r="N182" s="130">
        <f t="shared" si="118"/>
        <v>18.447919246722044</v>
      </c>
      <c r="O182" s="130">
        <f t="shared" si="119"/>
        <v>84.24305765781453</v>
      </c>
      <c r="P182" s="130">
        <f t="shared" si="109"/>
        <v>17.255013048219713</v>
      </c>
      <c r="Q182" s="130">
        <f t="shared" si="120"/>
        <v>81.76661634540046</v>
      </c>
      <c r="R182" s="129">
        <f t="shared" si="144"/>
        <v>8984.399058387784</v>
      </c>
      <c r="S182" s="130">
        <f t="shared" si="121"/>
        <v>4.166666666666667</v>
      </c>
      <c r="T182" s="130">
        <f t="shared" si="122"/>
        <v>6.6</v>
      </c>
      <c r="U182" s="134">
        <f t="shared" si="145"/>
        <v>2.68125</v>
      </c>
      <c r="V182" s="130">
        <f t="shared" si="123"/>
        <v>19887</v>
      </c>
      <c r="W182" s="130">
        <f t="shared" si="124"/>
        <v>19.17</v>
      </c>
      <c r="X182" s="130">
        <f t="shared" si="125"/>
        <v>80.6110325885513</v>
      </c>
      <c r="Y182" s="130">
        <f t="shared" si="126"/>
        <v>21.382236760888937</v>
      </c>
      <c r="Z182" s="130">
        <f t="shared" si="127"/>
        <v>6.6049041027436095</v>
      </c>
      <c r="AA182" s="130">
        <f t="shared" si="128"/>
        <v>21.753739503138508</v>
      </c>
      <c r="AB182" s="130">
        <f t="shared" si="129"/>
        <v>0.021222017957700956</v>
      </c>
      <c r="AC182" s="130">
        <f t="shared" si="130"/>
        <v>0.6571879582229891</v>
      </c>
      <c r="AD182" s="130">
        <f t="shared" si="131"/>
        <v>41.755801702298044</v>
      </c>
      <c r="AE182" s="130">
        <f t="shared" si="132"/>
        <v>-12.340829180673204</v>
      </c>
      <c r="AF182" s="130">
        <f t="shared" si="133"/>
        <v>0.08795303999944633</v>
      </c>
      <c r="AG182" s="130">
        <f t="shared" si="134"/>
        <v>0.03229215887504158</v>
      </c>
      <c r="AH182" s="130">
        <f t="shared" si="135"/>
        <v>122.6605441866592</v>
      </c>
      <c r="AI182" s="130">
        <f t="shared" si="136"/>
        <v>33.10124482797856</v>
      </c>
      <c r="AJ182" s="130">
        <f t="shared" si="137"/>
        <v>13.175906470369913</v>
      </c>
      <c r="AK182" s="130">
        <f t="shared" si="146"/>
        <v>386.34411383734806</v>
      </c>
      <c r="AL182" s="130">
        <f t="shared" si="138"/>
        <v>3407.765818586162</v>
      </c>
      <c r="AM182" s="130">
        <f t="shared" si="139"/>
        <v>2577.500010747559</v>
      </c>
      <c r="AN182" s="130">
        <f t="shared" si="140"/>
        <v>2509.6014949882115</v>
      </c>
      <c r="AO182" s="130">
        <f t="shared" si="141"/>
        <v>2481.1194572435247</v>
      </c>
      <c r="AP182" s="130">
        <f t="shared" si="142"/>
        <v>3252.222496370561</v>
      </c>
      <c r="AQ182" s="130">
        <f t="shared" si="143"/>
        <v>3004.147254618564</v>
      </c>
      <c r="AR182" s="130">
        <f t="shared" si="147"/>
        <v>300.05583123101127</v>
      </c>
      <c r="AS182" s="130">
        <f t="shared" si="148"/>
        <v>142.29399376875313</v>
      </c>
      <c r="AT182" s="130">
        <f t="shared" si="149"/>
        <v>-31.808487345818975</v>
      </c>
      <c r="AU182" s="130">
        <f t="shared" si="150"/>
        <v>25.110821729234683</v>
      </c>
      <c r="AV182" s="130">
        <f t="shared" si="151"/>
        <v>304.33546281759925</v>
      </c>
      <c r="AW182" s="130">
        <f t="shared" si="152"/>
        <v>28.8500802611213</v>
      </c>
      <c r="AX182" s="130">
        <f t="shared" si="153"/>
        <v>1554.8696476158182</v>
      </c>
      <c r="AY182" s="130">
        <f t="shared" si="154"/>
        <v>618.9137948457675</v>
      </c>
      <c r="AZ182" s="130">
        <f t="shared" si="155"/>
        <v>2642.5653136924752</v>
      </c>
      <c r="BA182" s="130">
        <f t="shared" si="156"/>
        <v>1193.8382519267307</v>
      </c>
      <c r="BB182" s="130">
        <f t="shared" si="157"/>
        <v>24.230811940192535</v>
      </c>
      <c r="BC182" s="130">
        <f t="shared" si="158"/>
        <v>1169.607439986538</v>
      </c>
      <c r="BD182" s="129">
        <f t="shared" si="159"/>
        <v>7790.560806461053</v>
      </c>
      <c r="BE182" s="129">
        <f t="shared" si="110"/>
        <v>27.098676649828164</v>
      </c>
      <c r="BF182" s="130">
        <f t="shared" si="160"/>
        <v>1.1125733329860874</v>
      </c>
      <c r="BG182" s="137">
        <f t="shared" si="161"/>
        <v>0.23341933266172457</v>
      </c>
      <c r="BH182" s="47"/>
      <c r="BI182" s="47"/>
      <c r="BJ182" s="47"/>
    </row>
    <row r="183" spans="1:62" ht="16.5" thickBot="1">
      <c r="A183" s="108">
        <f>IF(Data!A183&gt;0,Data!A183,"")</f>
        <v>163</v>
      </c>
      <c r="B183" s="109">
        <f>IF(A183&gt;0,IF(Data!$F$5="lb",Data!B183/2.204,Data!B183),"")</f>
        <v>18.016167863960057</v>
      </c>
      <c r="C183" s="109">
        <f>IF(A183&gt;0,Data!C183,"")</f>
        <v>0.06020347774028778</v>
      </c>
      <c r="D183" s="110">
        <f>IF(A183&gt;0,Data!D183,"")</f>
        <v>27.44150161743164</v>
      </c>
      <c r="E183" s="143">
        <f t="shared" si="111"/>
        <v>-0.27996158689319695</v>
      </c>
      <c r="F183" s="144">
        <f t="shared" si="112"/>
        <v>19.359923319601606</v>
      </c>
      <c r="G183" s="145">
        <f t="shared" si="113"/>
        <v>-8.111680036700179</v>
      </c>
      <c r="H183" s="111">
        <f>IF(A183&gt;0,IF(Data!$F$4="F",(Data!F183-32)/1.8,Data!F183),"")</f>
        <v>112.72037929958768</v>
      </c>
      <c r="I183" s="123">
        <f>IF(A183&gt;0,IF(Data!$F$4="F",(Data!G183-32)/1.8,Data!G183),"")</f>
        <v>26.72769334581163</v>
      </c>
      <c r="J183" s="136">
        <f t="shared" si="114"/>
        <v>0.99722756328364</v>
      </c>
      <c r="K183" s="128">
        <f t="shared" si="115"/>
        <v>0.8695593290306365</v>
      </c>
      <c r="L183" s="128">
        <f t="shared" si="116"/>
        <v>0.8671485308197787</v>
      </c>
      <c r="M183" s="155">
        <f t="shared" si="117"/>
        <v>4.475124941925094</v>
      </c>
      <c r="N183" s="130">
        <f t="shared" si="118"/>
        <v>18.016167863960057</v>
      </c>
      <c r="O183" s="130">
        <f t="shared" si="119"/>
        <v>84.61182995963108</v>
      </c>
      <c r="P183" s="130">
        <f t="shared" si="109"/>
        <v>16.856709076166354</v>
      </c>
      <c r="Q183" s="130">
        <f t="shared" si="120"/>
        <v>82.18750441504751</v>
      </c>
      <c r="R183" s="129">
        <f t="shared" si="144"/>
        <v>7895.509904177893</v>
      </c>
      <c r="S183" s="130">
        <f t="shared" si="121"/>
        <v>4.166666666666667</v>
      </c>
      <c r="T183" s="130">
        <f t="shared" si="122"/>
        <v>6.6</v>
      </c>
      <c r="U183" s="134">
        <f t="shared" si="145"/>
        <v>2.68125</v>
      </c>
      <c r="V183" s="130">
        <f t="shared" si="123"/>
        <v>19887</v>
      </c>
      <c r="W183" s="130">
        <f t="shared" si="124"/>
        <v>19.17</v>
      </c>
      <c r="X183" s="130">
        <f t="shared" si="125"/>
        <v>80.60997494152825</v>
      </c>
      <c r="Y183" s="130">
        <f t="shared" si="126"/>
        <v>21.381956217912002</v>
      </c>
      <c r="Z183" s="130">
        <f t="shared" si="127"/>
        <v>6.605586094784518</v>
      </c>
      <c r="AA183" s="130">
        <f t="shared" si="128"/>
        <v>21.75529351326178</v>
      </c>
      <c r="AB183" s="130">
        <f t="shared" si="129"/>
        <v>0.02157029976356384</v>
      </c>
      <c r="AC183" s="130">
        <f t="shared" si="130"/>
        <v>0.6572558164310596</v>
      </c>
      <c r="AD183" s="130">
        <f t="shared" si="131"/>
        <v>41.75162993070297</v>
      </c>
      <c r="AE183" s="130">
        <f t="shared" si="132"/>
        <v>-12.341739447430243</v>
      </c>
      <c r="AF183" s="130">
        <f t="shared" si="133"/>
        <v>0.09159824262521776</v>
      </c>
      <c r="AG183" s="130">
        <f t="shared" si="134"/>
        <v>0.032818727844345176</v>
      </c>
      <c r="AH183" s="130">
        <f t="shared" si="135"/>
        <v>122.64627094400699</v>
      </c>
      <c r="AI183" s="130">
        <f t="shared" si="136"/>
        <v>33.10019169003995</v>
      </c>
      <c r="AJ183" s="130">
        <f t="shared" si="137"/>
        <v>13.175906470369913</v>
      </c>
      <c r="AK183" s="130">
        <f t="shared" si="146"/>
        <v>385.8703792995876</v>
      </c>
      <c r="AL183" s="130">
        <f t="shared" si="138"/>
        <v>3395.2790635633864</v>
      </c>
      <c r="AM183" s="130">
        <f t="shared" si="139"/>
        <v>2568.418049158842</v>
      </c>
      <c r="AN183" s="130">
        <f t="shared" si="140"/>
        <v>2500.847428108792</v>
      </c>
      <c r="AO183" s="130">
        <f t="shared" si="141"/>
        <v>2472.446144033889</v>
      </c>
      <c r="AP183" s="130">
        <f t="shared" si="142"/>
        <v>3239.5118245754807</v>
      </c>
      <c r="AQ183" s="130">
        <f t="shared" si="143"/>
        <v>2993.696225920174</v>
      </c>
      <c r="AR183" s="130">
        <f t="shared" si="147"/>
        <v>299.8776933458116</v>
      </c>
      <c r="AS183" s="130">
        <f t="shared" si="148"/>
        <v>141.75843497336226</v>
      </c>
      <c r="AT183" s="130">
        <f t="shared" si="149"/>
        <v>-31.698746354795514</v>
      </c>
      <c r="AU183" s="130">
        <f t="shared" si="150"/>
        <v>26.150734704726812</v>
      </c>
      <c r="AV183" s="130">
        <f t="shared" si="151"/>
        <v>303.2362996756457</v>
      </c>
      <c r="AW183" s="130">
        <f t="shared" si="152"/>
        <v>29.320104159930203</v>
      </c>
      <c r="AX183" s="130">
        <f t="shared" si="153"/>
        <v>1554.4742473590736</v>
      </c>
      <c r="AY183" s="130">
        <f t="shared" si="154"/>
        <v>618.7760930691184</v>
      </c>
      <c r="AZ183" s="130">
        <f t="shared" si="155"/>
        <v>2642.0171675870615</v>
      </c>
      <c r="BA183" s="130">
        <f t="shared" si="156"/>
        <v>1048.9300906970216</v>
      </c>
      <c r="BB183" s="130">
        <f t="shared" si="157"/>
        <v>21.889735859944665</v>
      </c>
      <c r="BC183" s="130">
        <f t="shared" si="158"/>
        <v>1027.0403548370768</v>
      </c>
      <c r="BD183" s="129">
        <f t="shared" si="159"/>
        <v>6846.579813480872</v>
      </c>
      <c r="BE183" s="129">
        <f t="shared" si="110"/>
        <v>21.96066832898196</v>
      </c>
      <c r="BF183" s="130">
        <f t="shared" si="160"/>
        <v>1.0182538991238248</v>
      </c>
      <c r="BG183" s="137">
        <f t="shared" si="161"/>
        <v>0.20847435268269413</v>
      </c>
      <c r="BH183" s="47"/>
      <c r="BI183" s="47"/>
      <c r="BJ183" s="47"/>
    </row>
    <row r="184" spans="1:62" ht="16.5" thickBot="1">
      <c r="A184" s="108">
        <f>IF(Data!A184&gt;0,Data!A184,"")</f>
        <v>164</v>
      </c>
      <c r="B184" s="109">
        <f>IF(A184&gt;0,IF(Data!$F$5="lb",Data!B184/2.204,Data!B184),"")</f>
        <v>17.5875146246216</v>
      </c>
      <c r="C184" s="109">
        <f>IF(A184&gt;0,Data!C184,"")</f>
        <v>0.05782606080174446</v>
      </c>
      <c r="D184" s="110">
        <f>IF(A184&gt;0,Data!D184,"")</f>
        <v>27.44137954711914</v>
      </c>
      <c r="E184" s="143">
        <f t="shared" si="111"/>
        <v>-0.2798961403905058</v>
      </c>
      <c r="F184" s="144">
        <f t="shared" si="112"/>
        <v>19.360066924570997</v>
      </c>
      <c r="G184" s="145">
        <f t="shared" si="113"/>
        <v>-8.110225652949016</v>
      </c>
      <c r="H184" s="111">
        <f>IF(A184&gt;0,IF(Data!$F$4="F",(Data!F184-32)/1.8,Data!F184),"")</f>
        <v>112.34311421712239</v>
      </c>
      <c r="I184" s="123">
        <f>IF(A184&gt;0,IF(Data!$F$4="F",(Data!G184-32)/1.8,Data!G184),"")</f>
        <v>26.61555396185981</v>
      </c>
      <c r="J184" s="136">
        <f t="shared" si="114"/>
        <v>0.9973022388835545</v>
      </c>
      <c r="K184" s="128">
        <f t="shared" si="115"/>
        <v>0.8696526520918944</v>
      </c>
      <c r="L184" s="128">
        <f t="shared" si="116"/>
        <v>0.8673065369822672</v>
      </c>
      <c r="M184" s="155">
        <f t="shared" si="117"/>
        <v>4.4756454799041965</v>
      </c>
      <c r="N184" s="130">
        <f t="shared" si="118"/>
        <v>17.5875146246216</v>
      </c>
      <c r="O184" s="130">
        <f t="shared" si="119"/>
        <v>84.97795604066579</v>
      </c>
      <c r="P184" s="130">
        <f t="shared" si="109"/>
        <v>16.460975747050313</v>
      </c>
      <c r="Q184" s="130">
        <f t="shared" si="120"/>
        <v>82.6056760846093</v>
      </c>
      <c r="R184" s="129">
        <f t="shared" si="144"/>
        <v>8084.772194276926</v>
      </c>
      <c r="S184" s="130">
        <f t="shared" si="121"/>
        <v>4.166666666666667</v>
      </c>
      <c r="T184" s="130">
        <f t="shared" si="122"/>
        <v>6.6</v>
      </c>
      <c r="U184" s="134">
        <f t="shared" si="145"/>
        <v>2.68125</v>
      </c>
      <c r="V184" s="130">
        <f t="shared" si="123"/>
        <v>19887</v>
      </c>
      <c r="W184" s="130">
        <f t="shared" si="124"/>
        <v>19.17</v>
      </c>
      <c r="X184" s="130">
        <f t="shared" si="125"/>
        <v>80.61102004502813</v>
      </c>
      <c r="Y184" s="130">
        <f t="shared" si="126"/>
        <v>21.382233433694463</v>
      </c>
      <c r="Z184" s="130">
        <f t="shared" si="127"/>
        <v>6.604903466066845</v>
      </c>
      <c r="AA184" s="130">
        <f t="shared" si="128"/>
        <v>21.753730436638644</v>
      </c>
      <c r="AB184" s="130">
        <f t="shared" si="129"/>
        <v>0.021225500690970733</v>
      </c>
      <c r="AC184" s="130">
        <f t="shared" si="130"/>
        <v>0.6571878948736511</v>
      </c>
      <c r="AD184" s="130">
        <f t="shared" si="131"/>
        <v>41.75575929071994</v>
      </c>
      <c r="AE184" s="130">
        <f t="shared" si="132"/>
        <v>-12.340801947528663</v>
      </c>
      <c r="AF184" s="130">
        <f t="shared" si="133"/>
        <v>0.08799014901645734</v>
      </c>
      <c r="AG184" s="130">
        <f t="shared" si="134"/>
        <v>0.03229746143612624</v>
      </c>
      <c r="AH184" s="130">
        <f t="shared" si="135"/>
        <v>122.66053692380646</v>
      </c>
      <c r="AI184" s="130">
        <f t="shared" si="136"/>
        <v>33.101234222856384</v>
      </c>
      <c r="AJ184" s="130">
        <f t="shared" si="137"/>
        <v>13.175906470369913</v>
      </c>
      <c r="AK184" s="130">
        <f t="shared" si="146"/>
        <v>385.49311421712235</v>
      </c>
      <c r="AL184" s="130">
        <f t="shared" si="138"/>
        <v>3384.2026595583993</v>
      </c>
      <c r="AM184" s="130">
        <f t="shared" si="139"/>
        <v>2560.3105107068386</v>
      </c>
      <c r="AN184" s="130">
        <f t="shared" si="140"/>
        <v>2493.0195422003553</v>
      </c>
      <c r="AO184" s="130">
        <f t="shared" si="141"/>
        <v>2464.693236033561</v>
      </c>
      <c r="AP184" s="130">
        <f t="shared" si="142"/>
        <v>3228.349270944086</v>
      </c>
      <c r="AQ184" s="130">
        <f t="shared" si="143"/>
        <v>2984.3467306629236</v>
      </c>
      <c r="AR184" s="130">
        <f t="shared" si="147"/>
        <v>299.7655539618598</v>
      </c>
      <c r="AS184" s="130">
        <f t="shared" si="148"/>
        <v>141.3099516435348</v>
      </c>
      <c r="AT184" s="130">
        <f t="shared" si="149"/>
        <v>-31.59628493680906</v>
      </c>
      <c r="AU184" s="130">
        <f t="shared" si="150"/>
        <v>25.119957401633464</v>
      </c>
      <c r="AV184" s="130">
        <f t="shared" si="151"/>
        <v>302.3205956843506</v>
      </c>
      <c r="AW184" s="130">
        <f t="shared" si="152"/>
        <v>28.854046568217054</v>
      </c>
      <c r="AX184" s="130">
        <f t="shared" si="153"/>
        <v>1554.2137276786616</v>
      </c>
      <c r="AY184" s="130">
        <f t="shared" si="154"/>
        <v>618.6529049940636</v>
      </c>
      <c r="AZ184" s="130">
        <f t="shared" si="155"/>
        <v>2638.874899033652</v>
      </c>
      <c r="BA184" s="130">
        <f t="shared" si="156"/>
        <v>1072.7964201680797</v>
      </c>
      <c r="BB184" s="130">
        <f t="shared" si="157"/>
        <v>21.810717686895764</v>
      </c>
      <c r="BC184" s="130">
        <f t="shared" si="158"/>
        <v>1050.985702481184</v>
      </c>
      <c r="BD184" s="129">
        <f t="shared" si="159"/>
        <v>7011.975774108846</v>
      </c>
      <c r="BE184" s="129">
        <f t="shared" si="110"/>
        <v>21.23124163479723</v>
      </c>
      <c r="BF184" s="130">
        <f t="shared" si="160"/>
        <v>1.0015914257494367</v>
      </c>
      <c r="BG184" s="137">
        <f t="shared" si="161"/>
        <v>0.21008105247812114</v>
      </c>
      <c r="BH184" s="47"/>
      <c r="BI184" s="47"/>
      <c r="BJ184" s="47"/>
    </row>
    <row r="185" spans="1:62" ht="16.5" thickBot="1">
      <c r="A185" s="108">
        <f>IF(Data!A185&gt;0,Data!A185,"")</f>
        <v>165</v>
      </c>
      <c r="B185" s="109">
        <f>IF(A185&gt;0,IF(Data!$F$5="lb",Data!B185/2.204,Data!B185),"")</f>
        <v>17.135793197825684</v>
      </c>
      <c r="C185" s="109">
        <f>IF(A185&gt;0,Data!C185,"")</f>
        <v>0.06021567061543465</v>
      </c>
      <c r="D185" s="110">
        <f>IF(A185&gt;0,Data!D185,"")</f>
        <v>27.441410064697266</v>
      </c>
      <c r="E185" s="143">
        <f t="shared" si="111"/>
        <v>-0.27995950911977174</v>
      </c>
      <c r="F185" s="144">
        <f t="shared" si="112"/>
        <v>19.359927879124825</v>
      </c>
      <c r="G185" s="145">
        <f t="shared" si="113"/>
        <v>-8.111590020880158</v>
      </c>
      <c r="H185" s="111">
        <f>IF(A185&gt;0,IF(Data!$F$4="F",(Data!F185-32)/1.8,Data!F185),"")</f>
        <v>112.41924709743924</v>
      </c>
      <c r="I185" s="123">
        <f>IF(A185&gt;0,IF(Data!$F$4="F",(Data!G185-32)/1.8,Data!G185),"")</f>
        <v>26.8618901570638</v>
      </c>
      <c r="J185" s="136">
        <f t="shared" si="114"/>
        <v>0.9972271815930833</v>
      </c>
      <c r="K185" s="128">
        <f t="shared" si="115"/>
        <v>0.8697009531804609</v>
      </c>
      <c r="L185" s="128">
        <f t="shared" si="116"/>
        <v>0.8672894303689692</v>
      </c>
      <c r="M185" s="155">
        <f t="shared" si="117"/>
        <v>4.475136991515006</v>
      </c>
      <c r="N185" s="130">
        <f t="shared" si="118"/>
        <v>17.135793197825684</v>
      </c>
      <c r="O185" s="130">
        <f t="shared" si="119"/>
        <v>85.36378537900798</v>
      </c>
      <c r="P185" s="130">
        <f t="shared" si="109"/>
        <v>16.043638005187635</v>
      </c>
      <c r="Q185" s="130">
        <f t="shared" si="120"/>
        <v>83.04667715135214</v>
      </c>
      <c r="R185" s="129">
        <f t="shared" si="144"/>
        <v>4020.0678369302523</v>
      </c>
      <c r="S185" s="130">
        <f t="shared" si="121"/>
        <v>4.166666666666667</v>
      </c>
      <c r="T185" s="130">
        <f t="shared" si="122"/>
        <v>6.6</v>
      </c>
      <c r="U185" s="134">
        <f t="shared" si="145"/>
        <v>2.68125</v>
      </c>
      <c r="V185" s="130">
        <f t="shared" si="123"/>
        <v>19887</v>
      </c>
      <c r="W185" s="130">
        <f t="shared" si="124"/>
        <v>19.17</v>
      </c>
      <c r="X185" s="130">
        <f t="shared" si="125"/>
        <v>80.60996428556746</v>
      </c>
      <c r="Y185" s="130">
        <f t="shared" si="126"/>
        <v>21.381953391397204</v>
      </c>
      <c r="Z185" s="130">
        <f t="shared" si="127"/>
        <v>6.6055674356248195</v>
      </c>
      <c r="AA185" s="130">
        <f t="shared" si="128"/>
        <v>21.755228711313805</v>
      </c>
      <c r="AB185" s="130">
        <f t="shared" si="129"/>
        <v>0.021571913124049047</v>
      </c>
      <c r="AC185" s="130">
        <f t="shared" si="130"/>
        <v>0.6572539598446696</v>
      </c>
      <c r="AD185" s="130">
        <f t="shared" si="131"/>
        <v>41.751608573317014</v>
      </c>
      <c r="AE185" s="130">
        <f t="shared" si="132"/>
        <v>-12.3416373524736</v>
      </c>
      <c r="AF185" s="130">
        <f t="shared" si="133"/>
        <v>0.09161705260728373</v>
      </c>
      <c r="AG185" s="130">
        <f t="shared" si="134"/>
        <v>0.03282127524822701</v>
      </c>
      <c r="AH185" s="130">
        <f t="shared" si="135"/>
        <v>122.64660117775206</v>
      </c>
      <c r="AI185" s="130">
        <f t="shared" si="136"/>
        <v>33.10018659523218</v>
      </c>
      <c r="AJ185" s="130">
        <f t="shared" si="137"/>
        <v>13.175906470369913</v>
      </c>
      <c r="AK185" s="130">
        <f t="shared" si="146"/>
        <v>385.5692470974392</v>
      </c>
      <c r="AL185" s="130">
        <f t="shared" si="138"/>
        <v>3377.8837200579346</v>
      </c>
      <c r="AM185" s="130">
        <f t="shared" si="139"/>
        <v>2555.351428899659</v>
      </c>
      <c r="AN185" s="130">
        <f t="shared" si="140"/>
        <v>2488.147157415159</v>
      </c>
      <c r="AO185" s="130">
        <f t="shared" si="141"/>
        <v>2459.8853671166194</v>
      </c>
      <c r="AP185" s="130">
        <f t="shared" si="142"/>
        <v>3222.712222052491</v>
      </c>
      <c r="AQ185" s="130">
        <f t="shared" si="143"/>
        <v>2978.5002454080613</v>
      </c>
      <c r="AR185" s="130">
        <f t="shared" si="147"/>
        <v>300.01189015706376</v>
      </c>
      <c r="AS185" s="130">
        <f t="shared" si="148"/>
        <v>141.03207888603885</v>
      </c>
      <c r="AT185" s="130">
        <f t="shared" si="149"/>
        <v>-31.537220643604815</v>
      </c>
      <c r="AU185" s="130">
        <f t="shared" si="150"/>
        <v>26.154941277508613</v>
      </c>
      <c r="AV185" s="130">
        <f t="shared" si="151"/>
        <v>301.6965795637402</v>
      </c>
      <c r="AW185" s="130">
        <f t="shared" si="152"/>
        <v>29.321828614746575</v>
      </c>
      <c r="AX185" s="130">
        <f t="shared" si="153"/>
        <v>1553.9710183027153</v>
      </c>
      <c r="AY185" s="130">
        <f t="shared" si="154"/>
        <v>618.5758722511652</v>
      </c>
      <c r="AZ185" s="130">
        <f t="shared" si="155"/>
        <v>2639.21509825231</v>
      </c>
      <c r="BA185" s="130">
        <f t="shared" si="156"/>
        <v>533.5054925943997</v>
      </c>
      <c r="BB185" s="130">
        <f t="shared" si="157"/>
        <v>11.146884645117616</v>
      </c>
      <c r="BC185" s="130">
        <f t="shared" si="158"/>
        <v>522.358607949282</v>
      </c>
      <c r="BD185" s="129">
        <f t="shared" si="159"/>
        <v>3486.5623443358527</v>
      </c>
      <c r="BE185" s="129">
        <f t="shared" si="110"/>
        <v>23.013271650461466</v>
      </c>
      <c r="BF185" s="130">
        <f t="shared" si="160"/>
        <v>0.5185593333345839</v>
      </c>
      <c r="BG185" s="137">
        <f t="shared" si="161"/>
        <v>0.10615477688333677</v>
      </c>
      <c r="BH185" s="47"/>
      <c r="BI185" s="47"/>
      <c r="BJ185" s="47"/>
    </row>
    <row r="186" spans="1:62" ht="16.5" thickBot="1">
      <c r="A186" s="108">
        <f>IF(Data!A186&gt;0,Data!A186,"")</f>
        <v>166</v>
      </c>
      <c r="B186" s="109">
        <f>IF(A186&gt;0,IF(Data!$F$5="lb",Data!B186/2.204,Data!B186),"")</f>
        <v>17.149909654676154</v>
      </c>
      <c r="C186" s="109">
        <f>IF(A186&gt;0,Data!C186,"")</f>
        <v>0.06020347774028778</v>
      </c>
      <c r="D186" s="110">
        <f>IF(A186&gt;0,Data!D186,"")</f>
        <v>27.441654205322266</v>
      </c>
      <c r="E186" s="143">
        <f t="shared" si="111"/>
        <v>-0.2799655818648781</v>
      </c>
      <c r="F186" s="144">
        <f t="shared" si="112"/>
        <v>19.359914552851805</v>
      </c>
      <c r="G186" s="145">
        <f t="shared" si="113"/>
        <v>-8.111841391340604</v>
      </c>
      <c r="H186" s="111">
        <f>IF(A186&gt;0,IF(Data!$F$4="F",(Data!F186-32)/1.8,Data!F186),"")</f>
        <v>112.3189459906684</v>
      </c>
      <c r="I186" s="123">
        <f>IF(A186&gt;0,IF(Data!$F$4="F",(Data!G186-32)/1.8,Data!G186),"")</f>
        <v>26.946597629123264</v>
      </c>
      <c r="J186" s="136">
        <f t="shared" si="114"/>
        <v>0.9972275612079435</v>
      </c>
      <c r="K186" s="128">
        <f t="shared" si="115"/>
        <v>0.8697611215872793</v>
      </c>
      <c r="L186" s="128">
        <f t="shared" si="116"/>
        <v>0.8673497621139683</v>
      </c>
      <c r="M186" s="155">
        <f t="shared" si="117"/>
        <v>4.475100577133373</v>
      </c>
      <c r="N186" s="130">
        <f t="shared" si="118"/>
        <v>17.149909654676154</v>
      </c>
      <c r="O186" s="130">
        <f t="shared" si="119"/>
        <v>85.35172807359082</v>
      </c>
      <c r="P186" s="130">
        <f t="shared" si="109"/>
        <v>16.056684719049077</v>
      </c>
      <c r="Q186" s="130">
        <f t="shared" si="120"/>
        <v>83.03289068022039</v>
      </c>
      <c r="R186" s="129">
        <f t="shared" si="144"/>
        <v>3798.270966858468</v>
      </c>
      <c r="S186" s="130">
        <f t="shared" si="121"/>
        <v>4.166666666666667</v>
      </c>
      <c r="T186" s="130">
        <f t="shared" si="122"/>
        <v>6.6</v>
      </c>
      <c r="U186" s="134">
        <f t="shared" si="145"/>
        <v>2.68125</v>
      </c>
      <c r="V186" s="130">
        <f t="shared" si="123"/>
        <v>19887</v>
      </c>
      <c r="W186" s="130">
        <f t="shared" si="124"/>
        <v>19.17</v>
      </c>
      <c r="X186" s="130">
        <f t="shared" si="125"/>
        <v>80.60998370827805</v>
      </c>
      <c r="Y186" s="130">
        <f t="shared" si="126"/>
        <v>21.38195854330983</v>
      </c>
      <c r="Z186" s="130">
        <f t="shared" si="127"/>
        <v>6.60562277745081</v>
      </c>
      <c r="AA186" s="130">
        <f t="shared" si="128"/>
        <v>21.755414052956027</v>
      </c>
      <c r="AB186" s="130">
        <f t="shared" si="129"/>
        <v>0.021570556315822387</v>
      </c>
      <c r="AC186" s="130">
        <f t="shared" si="130"/>
        <v>0.6572594663563556</v>
      </c>
      <c r="AD186" s="130">
        <f t="shared" si="131"/>
        <v>41.751630231285006</v>
      </c>
      <c r="AE186" s="130">
        <f t="shared" si="132"/>
        <v>-12.341916406788568</v>
      </c>
      <c r="AF186" s="130">
        <f t="shared" si="133"/>
        <v>0.09159773395739335</v>
      </c>
      <c r="AG186" s="130">
        <f t="shared" si="134"/>
        <v>0.03281893593013262</v>
      </c>
      <c r="AH186" s="130">
        <f t="shared" si="135"/>
        <v>122.64560319709813</v>
      </c>
      <c r="AI186" s="130">
        <f t="shared" si="136"/>
        <v>33.100191273868376</v>
      </c>
      <c r="AJ186" s="130">
        <f t="shared" si="137"/>
        <v>13.175906470369913</v>
      </c>
      <c r="AK186" s="130">
        <f t="shared" si="146"/>
        <v>385.4689459906684</v>
      </c>
      <c r="AL186" s="130">
        <f t="shared" si="138"/>
        <v>3370.5601066114655</v>
      </c>
      <c r="AM186" s="130">
        <f t="shared" si="139"/>
        <v>2549.819765684515</v>
      </c>
      <c r="AN186" s="130">
        <f t="shared" si="140"/>
        <v>2482.7630793571143</v>
      </c>
      <c r="AO186" s="130">
        <f t="shared" si="141"/>
        <v>2454.562002759701</v>
      </c>
      <c r="AP186" s="130">
        <f t="shared" si="142"/>
        <v>3215.7061781943653</v>
      </c>
      <c r="AQ186" s="130">
        <f t="shared" si="143"/>
        <v>2972.0557649935663</v>
      </c>
      <c r="AR186" s="130">
        <f t="shared" si="147"/>
        <v>300.09659762912327</v>
      </c>
      <c r="AS186" s="130">
        <f t="shared" si="148"/>
        <v>140.7263792435625</v>
      </c>
      <c r="AT186" s="130">
        <f t="shared" si="149"/>
        <v>-31.4696624004555</v>
      </c>
      <c r="AU186" s="130">
        <f t="shared" si="150"/>
        <v>26.148932997826808</v>
      </c>
      <c r="AV186" s="130">
        <f t="shared" si="151"/>
        <v>301.0412374131408</v>
      </c>
      <c r="AW186" s="130">
        <f t="shared" si="152"/>
        <v>29.319508786855426</v>
      </c>
      <c r="AX186" s="130">
        <f t="shared" si="153"/>
        <v>1553.7579244186088</v>
      </c>
      <c r="AY186" s="130">
        <f t="shared" si="154"/>
        <v>618.4909603799737</v>
      </c>
      <c r="AZ186" s="130">
        <f t="shared" si="155"/>
        <v>2638.0152808395123</v>
      </c>
      <c r="BA186" s="130">
        <f t="shared" si="156"/>
        <v>503.8415473093834</v>
      </c>
      <c r="BB186" s="130">
        <f t="shared" si="157"/>
        <v>10.530442168375</v>
      </c>
      <c r="BC186" s="130">
        <f t="shared" si="158"/>
        <v>493.3111051410084</v>
      </c>
      <c r="BD186" s="129">
        <f t="shared" si="159"/>
        <v>3294.4294195490847</v>
      </c>
      <c r="BE186" s="129">
        <f t="shared" si="110"/>
        <v>-0.7193369650015963</v>
      </c>
      <c r="BF186" s="130">
        <f t="shared" si="160"/>
        <v>0.48984584796957853</v>
      </c>
      <c r="BG186" s="137">
        <f t="shared" si="161"/>
        <v>0.1002908122947541</v>
      </c>
      <c r="BH186" s="47"/>
      <c r="BI186" s="47"/>
      <c r="BJ186" s="47"/>
    </row>
    <row r="187" spans="1:62" ht="16.5" thickBot="1">
      <c r="A187" s="108">
        <f>IF(Data!A187&gt;0,Data!A187,"")</f>
        <v>167</v>
      </c>
      <c r="B187" s="109">
        <f>IF(A187&gt;0,IF(Data!$F$5="lb",Data!B187/2.204,Data!B187),"")</f>
        <v>16.722634137217664</v>
      </c>
      <c r="C187" s="109">
        <f>IF(A187&gt;0,Data!C187,"")</f>
        <v>0.057813871651887894</v>
      </c>
      <c r="D187" s="110">
        <f>IF(A187&gt;0,Data!D187,"")</f>
        <v>27.44137954711914</v>
      </c>
      <c r="E187" s="143">
        <f t="shared" si="111"/>
        <v>-0.27989582120100365</v>
      </c>
      <c r="F187" s="144">
        <f t="shared" si="112"/>
        <v>19.360067624883627</v>
      </c>
      <c r="G187" s="145">
        <f t="shared" si="113"/>
        <v>-8.110218858061458</v>
      </c>
      <c r="H187" s="111">
        <f>IF(A187&gt;0,IF(Data!$F$4="F",(Data!F187-32)/1.8,Data!F187),"")</f>
        <v>112.16736687554253</v>
      </c>
      <c r="I187" s="123">
        <f>IF(A187&gt;0,IF(Data!$F$4="F",(Data!G187-32)/1.8,Data!G187),"")</f>
        <v>26.77588568793403</v>
      </c>
      <c r="J187" s="136">
        <f t="shared" si="114"/>
        <v>0.9973026217790887</v>
      </c>
      <c r="K187" s="128">
        <f t="shared" si="115"/>
        <v>0.8697615563591322</v>
      </c>
      <c r="L187" s="128">
        <f t="shared" si="116"/>
        <v>0.8674154804796232</v>
      </c>
      <c r="M187" s="155">
        <f t="shared" si="117"/>
        <v>4.4756480490502515</v>
      </c>
      <c r="N187" s="130">
        <f t="shared" si="118"/>
        <v>16.722634137217664</v>
      </c>
      <c r="O187" s="130">
        <f t="shared" si="119"/>
        <v>85.7166773994622</v>
      </c>
      <c r="P187" s="130">
        <f t="shared" si="109"/>
        <v>15.661652691479338</v>
      </c>
      <c r="Q187" s="130">
        <f t="shared" si="120"/>
        <v>83.45032128397624</v>
      </c>
      <c r="R187" s="129">
        <f t="shared" si="144"/>
        <v>8061.577263711857</v>
      </c>
      <c r="S187" s="130">
        <f t="shared" si="121"/>
        <v>4.166666666666667</v>
      </c>
      <c r="T187" s="130">
        <f t="shared" si="122"/>
        <v>6.6</v>
      </c>
      <c r="U187" s="134">
        <f t="shared" si="145"/>
        <v>2.68125</v>
      </c>
      <c r="V187" s="130">
        <f t="shared" si="123"/>
        <v>19887</v>
      </c>
      <c r="W187" s="130">
        <f t="shared" si="124"/>
        <v>19.17</v>
      </c>
      <c r="X187" s="130">
        <f t="shared" si="125"/>
        <v>80.61102543929043</v>
      </c>
      <c r="Y187" s="130">
        <f t="shared" si="126"/>
        <v>21.38223486453327</v>
      </c>
      <c r="Z187" s="130">
        <f t="shared" si="127"/>
        <v>6.604900116650426</v>
      </c>
      <c r="AA187" s="130">
        <f t="shared" si="128"/>
        <v>21.75372291706824</v>
      </c>
      <c r="AB187" s="130">
        <f t="shared" si="129"/>
        <v>0.021223733939081058</v>
      </c>
      <c r="AC187" s="130">
        <f t="shared" si="130"/>
        <v>0.6571875616067173</v>
      </c>
      <c r="AD187" s="130">
        <f t="shared" si="131"/>
        <v>41.75578046551795</v>
      </c>
      <c r="AE187" s="130">
        <f t="shared" si="132"/>
        <v>-12.340797866340143</v>
      </c>
      <c r="AF187" s="130">
        <f t="shared" si="133"/>
        <v>0.08797164619266733</v>
      </c>
      <c r="AG187" s="130">
        <f t="shared" si="134"/>
        <v>0.032294789461919306</v>
      </c>
      <c r="AH187" s="130">
        <f t="shared" si="135"/>
        <v>122.66060733439554</v>
      </c>
      <c r="AI187" s="130">
        <f t="shared" si="136"/>
        <v>33.10123956680481</v>
      </c>
      <c r="AJ187" s="130">
        <f t="shared" si="137"/>
        <v>13.175906470369913</v>
      </c>
      <c r="AK187" s="130">
        <f t="shared" si="146"/>
        <v>385.3173668755425</v>
      </c>
      <c r="AL187" s="130">
        <f t="shared" si="138"/>
        <v>3370.9164307799974</v>
      </c>
      <c r="AM187" s="130">
        <f t="shared" si="139"/>
        <v>2550.2673625624752</v>
      </c>
      <c r="AN187" s="130">
        <f t="shared" si="140"/>
        <v>2483.2424336864096</v>
      </c>
      <c r="AO187" s="130">
        <f t="shared" si="141"/>
        <v>2455.026780662915</v>
      </c>
      <c r="AP187" s="130">
        <f t="shared" si="142"/>
        <v>3215.656265702191</v>
      </c>
      <c r="AQ187" s="130">
        <f t="shared" si="143"/>
        <v>2972.6433988277263</v>
      </c>
      <c r="AR187" s="130">
        <f t="shared" si="147"/>
        <v>299.925885687934</v>
      </c>
      <c r="AS187" s="130">
        <f t="shared" si="148"/>
        <v>140.7552464512569</v>
      </c>
      <c r="AT187" s="130">
        <f t="shared" si="149"/>
        <v>-31.472334026507898</v>
      </c>
      <c r="AU187" s="130">
        <f t="shared" si="150"/>
        <v>25.113814995788385</v>
      </c>
      <c r="AV187" s="130">
        <f t="shared" si="151"/>
        <v>301.135075938319</v>
      </c>
      <c r="AW187" s="130">
        <f t="shared" si="152"/>
        <v>28.851249550346996</v>
      </c>
      <c r="AX187" s="130">
        <f t="shared" si="153"/>
        <v>1553.8265838041182</v>
      </c>
      <c r="AY187" s="130">
        <f t="shared" si="154"/>
        <v>618.4987029884114</v>
      </c>
      <c r="AZ187" s="130">
        <f t="shared" si="155"/>
        <v>2636.708339701733</v>
      </c>
      <c r="BA187" s="130">
        <f t="shared" si="156"/>
        <v>1068.8403480856305</v>
      </c>
      <c r="BB187" s="130">
        <f t="shared" si="157"/>
        <v>21.74505675817786</v>
      </c>
      <c r="BC187" s="130">
        <f t="shared" si="158"/>
        <v>1047.0952913274525</v>
      </c>
      <c r="BD187" s="129">
        <f t="shared" si="159"/>
        <v>6992.736915626227</v>
      </c>
      <c r="BE187" s="129">
        <f t="shared" si="110"/>
        <v>21.190608515568616</v>
      </c>
      <c r="BF187" s="130">
        <f t="shared" si="160"/>
        <v>0.9985078814475336</v>
      </c>
      <c r="BG187" s="137">
        <f t="shared" si="161"/>
        <v>0.20946100705994466</v>
      </c>
      <c r="BH187" s="47"/>
      <c r="BI187" s="47"/>
      <c r="BJ187" s="47"/>
    </row>
    <row r="188" spans="1:62" ht="16.5" thickBot="1">
      <c r="A188" s="108">
        <f>IF(Data!A188&gt;0,Data!A188,"")</f>
        <v>168</v>
      </c>
      <c r="B188" s="109">
        <f>IF(A188&gt;0,IF(Data!$F$5="lb",Data!B188/2.204,Data!B188),"")</f>
        <v>16.2733219929053</v>
      </c>
      <c r="C188" s="109">
        <f>IF(A188&gt;0,Data!C188,"")</f>
        <v>0.05780167877674103</v>
      </c>
      <c r="D188" s="110">
        <f>IF(A188&gt;0,Data!D188,"")</f>
        <v>27.441471099853516</v>
      </c>
      <c r="E188" s="143">
        <f t="shared" si="111"/>
        <v>-0.2798978993420046</v>
      </c>
      <c r="F188" s="144">
        <f t="shared" si="112"/>
        <v>19.360063065360407</v>
      </c>
      <c r="G188" s="145">
        <f t="shared" si="113"/>
        <v>-8.110308873881479</v>
      </c>
      <c r="H188" s="111">
        <f>IF(A188&gt;0,IF(Data!$F$4="F",(Data!F188-32)/1.8,Data!F188),"")</f>
        <v>112.55209181043837</v>
      </c>
      <c r="I188" s="123">
        <f>IF(A188&gt;0,IF(Data!$F$4="F",(Data!G188-32)/1.8,Data!G188),"")</f>
        <v>26.786202324761284</v>
      </c>
      <c r="J188" s="136">
        <f t="shared" si="114"/>
        <v>0.9973030032950874</v>
      </c>
      <c r="K188" s="128">
        <f t="shared" si="115"/>
        <v>0.8696386159758891</v>
      </c>
      <c r="L188" s="128">
        <f t="shared" si="116"/>
        <v>0.8672932034941374</v>
      </c>
      <c r="M188" s="155">
        <f t="shared" si="117"/>
        <v>4.475635996799166</v>
      </c>
      <c r="N188" s="130">
        <f t="shared" si="118"/>
        <v>16.2733219929053</v>
      </c>
      <c r="O188" s="130">
        <f t="shared" si="119"/>
        <v>86.10044889460421</v>
      </c>
      <c r="P188" s="130">
        <f t="shared" si="109"/>
        <v>15.245946320727372</v>
      </c>
      <c r="Q188" s="130">
        <f t="shared" si="120"/>
        <v>83.88959847979173</v>
      </c>
      <c r="R188" s="129">
        <f t="shared" si="144"/>
        <v>8993.212108515874</v>
      </c>
      <c r="S188" s="130">
        <f t="shared" si="121"/>
        <v>4.166666666666667</v>
      </c>
      <c r="T188" s="130">
        <f t="shared" si="122"/>
        <v>6.6</v>
      </c>
      <c r="U188" s="134">
        <f t="shared" si="145"/>
        <v>2.68125</v>
      </c>
      <c r="V188" s="130">
        <f t="shared" si="123"/>
        <v>19887</v>
      </c>
      <c r="W188" s="130">
        <f t="shared" si="124"/>
        <v>19.17</v>
      </c>
      <c r="X188" s="130">
        <f t="shared" si="125"/>
        <v>80.61103609525122</v>
      </c>
      <c r="Y188" s="130">
        <f t="shared" si="126"/>
        <v>21.38223769104807</v>
      </c>
      <c r="Z188" s="130">
        <f t="shared" si="127"/>
        <v>6.604918775810124</v>
      </c>
      <c r="AA188" s="130">
        <f t="shared" si="128"/>
        <v>21.753787719016216</v>
      </c>
      <c r="AB188" s="130">
        <f t="shared" si="129"/>
        <v>0.02122212057859585</v>
      </c>
      <c r="AC188" s="130">
        <f t="shared" si="130"/>
        <v>0.6571894181931074</v>
      </c>
      <c r="AD188" s="130">
        <f t="shared" si="131"/>
        <v>41.755801813275944</v>
      </c>
      <c r="AE188" s="130">
        <f t="shared" si="132"/>
        <v>-12.340899973983392</v>
      </c>
      <c r="AF188" s="130">
        <f t="shared" si="133"/>
        <v>0.08795284460857933</v>
      </c>
      <c r="AG188" s="130">
        <f t="shared" si="134"/>
        <v>0.03229224328800738</v>
      </c>
      <c r="AH188" s="130">
        <f t="shared" si="135"/>
        <v>122.66027702771778</v>
      </c>
      <c r="AI188" s="130">
        <f t="shared" si="136"/>
        <v>33.10124465915263</v>
      </c>
      <c r="AJ188" s="130">
        <f t="shared" si="137"/>
        <v>13.175906470369913</v>
      </c>
      <c r="AK188" s="130">
        <f t="shared" si="146"/>
        <v>385.70209181043833</v>
      </c>
      <c r="AL188" s="130">
        <f t="shared" si="138"/>
        <v>3386.1878587551423</v>
      </c>
      <c r="AM188" s="130">
        <f t="shared" si="139"/>
        <v>2561.601753934168</v>
      </c>
      <c r="AN188" s="130">
        <f t="shared" si="140"/>
        <v>2494.225349063414</v>
      </c>
      <c r="AO188" s="130">
        <f t="shared" si="141"/>
        <v>2465.8961457476757</v>
      </c>
      <c r="AP188" s="130">
        <f t="shared" si="142"/>
        <v>3230.704333224476</v>
      </c>
      <c r="AQ188" s="130">
        <f t="shared" si="143"/>
        <v>2985.773840371414</v>
      </c>
      <c r="AR188" s="130">
        <f t="shared" si="147"/>
        <v>299.93620232476127</v>
      </c>
      <c r="AS188" s="130">
        <f t="shared" si="148"/>
        <v>141.39298913270096</v>
      </c>
      <c r="AT188" s="130">
        <f t="shared" si="149"/>
        <v>-31.612471018481987</v>
      </c>
      <c r="AU188" s="130">
        <f t="shared" si="150"/>
        <v>25.109413568860642</v>
      </c>
      <c r="AV188" s="130">
        <f t="shared" si="151"/>
        <v>302.46750435899145</v>
      </c>
      <c r="AW188" s="130">
        <f t="shared" si="152"/>
        <v>28.849460806599605</v>
      </c>
      <c r="AX188" s="130">
        <f t="shared" si="153"/>
        <v>1554.261456805314</v>
      </c>
      <c r="AY188" s="130">
        <f t="shared" si="154"/>
        <v>618.6717084581057</v>
      </c>
      <c r="AZ188" s="130">
        <f t="shared" si="155"/>
        <v>2639.14006211209</v>
      </c>
      <c r="BA188" s="130">
        <f t="shared" si="156"/>
        <v>1193.460369218876</v>
      </c>
      <c r="BB188" s="130">
        <f t="shared" si="157"/>
        <v>24.254589600857884</v>
      </c>
      <c r="BC188" s="130">
        <f t="shared" si="158"/>
        <v>1169.2057796180181</v>
      </c>
      <c r="BD188" s="129">
        <f t="shared" si="159"/>
        <v>7799.7517392969985</v>
      </c>
      <c r="BE188" s="129">
        <f t="shared" si="110"/>
        <v>22.296483308113263</v>
      </c>
      <c r="BF188" s="130">
        <f t="shared" si="160"/>
        <v>1.1136622134632745</v>
      </c>
      <c r="BG188" s="137">
        <f t="shared" si="161"/>
        <v>0.2336489110263778</v>
      </c>
      <c r="BH188" s="47"/>
      <c r="BI188" s="47"/>
      <c r="BJ188" s="47"/>
    </row>
    <row r="189" spans="1:62" ht="16.5" thickBot="1">
      <c r="A189" s="108">
        <f>IF(Data!A189&gt;0,Data!A189,"")</f>
        <v>169</v>
      </c>
      <c r="B189" s="109">
        <f>IF(A189&gt;0,IF(Data!$F$5="lb",Data!B189/2.204,Data!B189),"")</f>
        <v>15.74551085594994</v>
      </c>
      <c r="C189" s="109">
        <f>IF(A189&gt;0,Data!C189,"")</f>
        <v>0.060191284865140915</v>
      </c>
      <c r="D189" s="110">
        <f>IF(A189&gt;0,Data!D189,"")</f>
        <v>27.441715240478516</v>
      </c>
      <c r="E189" s="143">
        <f t="shared" si="111"/>
        <v>-0.27996686061707743</v>
      </c>
      <c r="F189" s="144">
        <f t="shared" si="112"/>
        <v>19.35991174667855</v>
      </c>
      <c r="G189" s="145">
        <f t="shared" si="113"/>
        <v>-8.111899136232537</v>
      </c>
      <c r="H189" s="111">
        <f>IF(A189&gt;0,IF(Data!$F$4="F",(Data!F189-32)/1.8,Data!F189),"")</f>
        <v>112.8665754530165</v>
      </c>
      <c r="I189" s="123">
        <f>IF(A189&gt;0,IF(Data!$F$4="F",(Data!G189-32)/1.8,Data!G189),"")</f>
        <v>26.41595204671224</v>
      </c>
      <c r="J189" s="136">
        <f t="shared" si="114"/>
        <v>0.9972279433097901</v>
      </c>
      <c r="K189" s="128">
        <f t="shared" si="115"/>
        <v>0.8694120042209217</v>
      </c>
      <c r="L189" s="128">
        <f t="shared" si="116"/>
        <v>0.8670019448580725</v>
      </c>
      <c r="M189" s="155">
        <f t="shared" si="117"/>
        <v>4.47509340065682</v>
      </c>
      <c r="N189" s="130">
        <f t="shared" si="118"/>
        <v>15.74551085594994</v>
      </c>
      <c r="O189" s="130">
        <f t="shared" si="119"/>
        <v>86.55126882401423</v>
      </c>
      <c r="P189" s="130">
        <f t="shared" si="109"/>
        <v>14.757221444079944</v>
      </c>
      <c r="Q189" s="130">
        <f t="shared" si="120"/>
        <v>84.40603437888709</v>
      </c>
      <c r="R189" s="129">
        <f t="shared" si="144"/>
        <v>8688.7830131625</v>
      </c>
      <c r="S189" s="130">
        <f t="shared" si="121"/>
        <v>4.166666666666667</v>
      </c>
      <c r="T189" s="130">
        <f t="shared" si="122"/>
        <v>6.6</v>
      </c>
      <c r="U189" s="134">
        <f t="shared" si="145"/>
        <v>2.68125</v>
      </c>
      <c r="V189" s="130">
        <f t="shared" si="123"/>
        <v>19887</v>
      </c>
      <c r="W189" s="130">
        <f t="shared" si="124"/>
        <v>19.17</v>
      </c>
      <c r="X189" s="130">
        <f t="shared" si="125"/>
        <v>80.60999261088888</v>
      </c>
      <c r="Y189" s="130">
        <f t="shared" si="126"/>
        <v>21.38196090474506</v>
      </c>
      <c r="Z189" s="130">
        <f t="shared" si="127"/>
        <v>6.605634100077251</v>
      </c>
      <c r="AA189" s="130">
        <f t="shared" si="128"/>
        <v>21.755454746965146</v>
      </c>
      <c r="AB189" s="130">
        <f t="shared" si="129"/>
        <v>0.02156889164488973</v>
      </c>
      <c r="AC189" s="130">
        <f t="shared" si="130"/>
        <v>0.6572605929576865</v>
      </c>
      <c r="AD189" s="130">
        <f t="shared" si="131"/>
        <v>41.751651528338584</v>
      </c>
      <c r="AE189" s="130">
        <f t="shared" si="132"/>
        <v>-12.341983108600534</v>
      </c>
      <c r="AF189" s="130">
        <f t="shared" si="133"/>
        <v>0.09157902589942121</v>
      </c>
      <c r="AG189" s="130">
        <f t="shared" si="134"/>
        <v>0.03281634693452298</v>
      </c>
      <c r="AH189" s="130">
        <f t="shared" si="135"/>
        <v>122.6454065169832</v>
      </c>
      <c r="AI189" s="130">
        <f t="shared" si="136"/>
        <v>33.100196451859595</v>
      </c>
      <c r="AJ189" s="130">
        <f t="shared" si="137"/>
        <v>13.175906470369913</v>
      </c>
      <c r="AK189" s="130">
        <f t="shared" si="146"/>
        <v>386.01657545301646</v>
      </c>
      <c r="AL189" s="130">
        <f t="shared" si="138"/>
        <v>3413.1524504551367</v>
      </c>
      <c r="AM189" s="130">
        <f t="shared" si="139"/>
        <v>2582.0312621123367</v>
      </c>
      <c r="AN189" s="130">
        <f t="shared" si="140"/>
        <v>2514.1251362787357</v>
      </c>
      <c r="AO189" s="130">
        <f t="shared" si="141"/>
        <v>2485.5683132026033</v>
      </c>
      <c r="AP189" s="130">
        <f t="shared" si="142"/>
        <v>3256.362498104842</v>
      </c>
      <c r="AQ189" s="130">
        <f t="shared" si="143"/>
        <v>3009.5977896693926</v>
      </c>
      <c r="AR189" s="130">
        <f t="shared" si="147"/>
        <v>299.5659520467122</v>
      </c>
      <c r="AS189" s="130">
        <f t="shared" si="148"/>
        <v>142.5047517244978</v>
      </c>
      <c r="AT189" s="130">
        <f t="shared" si="149"/>
        <v>-31.867386222868976</v>
      </c>
      <c r="AU189" s="130">
        <f t="shared" si="150"/>
        <v>26.146464407324565</v>
      </c>
      <c r="AV189" s="130">
        <f t="shared" si="151"/>
        <v>304.84353619846553</v>
      </c>
      <c r="AW189" s="130">
        <f t="shared" si="152"/>
        <v>29.31853004332962</v>
      </c>
      <c r="AX189" s="130">
        <f t="shared" si="153"/>
        <v>1555.000815870954</v>
      </c>
      <c r="AY189" s="130">
        <f t="shared" si="154"/>
        <v>618.9856105858107</v>
      </c>
      <c r="AZ189" s="130">
        <f t="shared" si="155"/>
        <v>2644.932322607513</v>
      </c>
      <c r="BA189" s="130">
        <f t="shared" si="156"/>
        <v>1155.5912423008294</v>
      </c>
      <c r="BB189" s="130">
        <f t="shared" si="157"/>
        <v>24.085726792535986</v>
      </c>
      <c r="BC189" s="130">
        <f t="shared" si="158"/>
        <v>1131.5055155082935</v>
      </c>
      <c r="BD189" s="129">
        <f t="shared" si="159"/>
        <v>7533.19177086167</v>
      </c>
      <c r="BE189" s="129">
        <f t="shared" si="110"/>
        <v>26.94237192341915</v>
      </c>
      <c r="BF189" s="130">
        <f t="shared" si="160"/>
        <v>1.1203242303370076</v>
      </c>
      <c r="BG189" s="137">
        <f t="shared" si="161"/>
        <v>0.22940342358222401</v>
      </c>
      <c r="BH189" s="47"/>
      <c r="BI189" s="47"/>
      <c r="BJ189" s="47"/>
    </row>
    <row r="190" spans="1:62" ht="16.5" thickBot="1">
      <c r="A190" s="108">
        <f>IF(Data!A190&gt;0,Data!A190,"")</f>
        <v>170</v>
      </c>
      <c r="B190" s="109">
        <f>IF(A190&gt;0,IF(Data!$F$5="lb",Data!B190/2.204,Data!B190),"")</f>
        <v>15.329940782051985</v>
      </c>
      <c r="C190" s="109">
        <f>IF(A190&gt;0,Data!C190,"")</f>
        <v>0.05778948590159416</v>
      </c>
      <c r="D190" s="110">
        <f>IF(A190&gt;0,Data!D190,"")</f>
        <v>27.44137954711914</v>
      </c>
      <c r="E190" s="143">
        <f t="shared" si="111"/>
        <v>-0.2798951826260464</v>
      </c>
      <c r="F190" s="144">
        <f t="shared" si="112"/>
        <v>19.36006902593695</v>
      </c>
      <c r="G190" s="145">
        <f t="shared" si="113"/>
        <v>-8.110205264132986</v>
      </c>
      <c r="H190" s="111">
        <f>IF(A190&gt;0,IF(Data!$F$4="F",(Data!F190-32)/1.8,Data!F190),"")</f>
        <v>113.30685933430989</v>
      </c>
      <c r="I190" s="123">
        <f>IF(A190&gt;0,IF(Data!$F$4="F",(Data!G190-32)/1.8,Data!G190),"")</f>
        <v>26.756566365559895</v>
      </c>
      <c r="J190" s="136">
        <f t="shared" si="114"/>
        <v>0.9973033878053644</v>
      </c>
      <c r="K190" s="128">
        <f t="shared" si="115"/>
        <v>0.8693812463488256</v>
      </c>
      <c r="L190" s="128">
        <f t="shared" si="116"/>
        <v>0.8670368622781339</v>
      </c>
      <c r="M190" s="155">
        <f t="shared" si="117"/>
        <v>4.475653188920563</v>
      </c>
      <c r="N190" s="130">
        <f t="shared" si="118"/>
        <v>15.329940782051985</v>
      </c>
      <c r="O190" s="130">
        <f t="shared" si="119"/>
        <v>86.90622016600427</v>
      </c>
      <c r="P190" s="130">
        <f t="shared" si="109"/>
        <v>14.372130962637916</v>
      </c>
      <c r="Q190" s="130">
        <f t="shared" si="120"/>
        <v>84.8129597443009</v>
      </c>
      <c r="R190" s="129">
        <f t="shared" si="144"/>
        <v>7886.322370079461</v>
      </c>
      <c r="S190" s="130">
        <f t="shared" si="121"/>
        <v>4.166666666666667</v>
      </c>
      <c r="T190" s="130">
        <f t="shared" si="122"/>
        <v>6.6</v>
      </c>
      <c r="U190" s="134">
        <f t="shared" si="145"/>
        <v>2.68125</v>
      </c>
      <c r="V190" s="130">
        <f t="shared" si="123"/>
        <v>19887</v>
      </c>
      <c r="W190" s="130">
        <f t="shared" si="124"/>
        <v>19.17</v>
      </c>
      <c r="X190" s="130">
        <f t="shared" si="125"/>
        <v>80.61103623111225</v>
      </c>
      <c r="Y190" s="130">
        <f t="shared" si="126"/>
        <v>21.382237727085478</v>
      </c>
      <c r="Z190" s="130">
        <f t="shared" si="127"/>
        <v>6.604893415770272</v>
      </c>
      <c r="AA190" s="130">
        <f t="shared" si="128"/>
        <v>21.753707873331095</v>
      </c>
      <c r="AB190" s="130">
        <f t="shared" si="129"/>
        <v>0.021220199355401093</v>
      </c>
      <c r="AC190" s="130">
        <f t="shared" si="130"/>
        <v>0.6571868948691421</v>
      </c>
      <c r="AD190" s="130">
        <f t="shared" si="131"/>
        <v>41.7558228281214</v>
      </c>
      <c r="AE190" s="130">
        <f t="shared" si="132"/>
        <v>-12.340789701456048</v>
      </c>
      <c r="AF190" s="130">
        <f t="shared" si="133"/>
        <v>0.08793462917896606</v>
      </c>
      <c r="AG190" s="130">
        <f t="shared" si="134"/>
        <v>0.032289443872167325</v>
      </c>
      <c r="AH190" s="130">
        <f t="shared" si="135"/>
        <v>122.66074819882613</v>
      </c>
      <c r="AI190" s="130">
        <f t="shared" si="136"/>
        <v>33.10125025798431</v>
      </c>
      <c r="AJ190" s="130">
        <f t="shared" si="137"/>
        <v>13.175906470369913</v>
      </c>
      <c r="AK190" s="130">
        <f t="shared" si="146"/>
        <v>386.45685933430985</v>
      </c>
      <c r="AL190" s="130">
        <f t="shared" si="138"/>
        <v>3418.0675101685742</v>
      </c>
      <c r="AM190" s="130">
        <f t="shared" si="139"/>
        <v>2585.3122463871764</v>
      </c>
      <c r="AN190" s="130">
        <f t="shared" si="140"/>
        <v>2517.2129332337913</v>
      </c>
      <c r="AO190" s="130">
        <f t="shared" si="141"/>
        <v>2488.6434628757493</v>
      </c>
      <c r="AP190" s="130">
        <f t="shared" si="142"/>
        <v>3262.009217591822</v>
      </c>
      <c r="AQ190" s="130">
        <f t="shared" si="143"/>
        <v>3013.2602000556285</v>
      </c>
      <c r="AR190" s="130">
        <f t="shared" si="147"/>
        <v>299.90656636555985</v>
      </c>
      <c r="AS190" s="130">
        <f t="shared" si="148"/>
        <v>142.72422136915705</v>
      </c>
      <c r="AT190" s="130">
        <f t="shared" si="149"/>
        <v>-31.904794745263064</v>
      </c>
      <c r="AU190" s="130">
        <f t="shared" si="150"/>
        <v>25.10623470109155</v>
      </c>
      <c r="AV190" s="130">
        <f t="shared" si="151"/>
        <v>305.258869156457</v>
      </c>
      <c r="AW190" s="130">
        <f t="shared" si="152"/>
        <v>28.847970663014905</v>
      </c>
      <c r="AX190" s="130">
        <f t="shared" si="153"/>
        <v>1555.1715525677776</v>
      </c>
      <c r="AY190" s="130">
        <f t="shared" si="154"/>
        <v>619.0338661625159</v>
      </c>
      <c r="AZ190" s="130">
        <f t="shared" si="155"/>
        <v>2644.237919874751</v>
      </c>
      <c r="BA190" s="130">
        <f t="shared" si="156"/>
        <v>1048.5901674119086</v>
      </c>
      <c r="BB190" s="130">
        <f t="shared" si="157"/>
        <v>21.26628834246847</v>
      </c>
      <c r="BC190" s="130">
        <f t="shared" si="158"/>
        <v>1027.3238790694402</v>
      </c>
      <c r="BD190" s="129">
        <f t="shared" si="159"/>
        <v>6837.732202667552</v>
      </c>
      <c r="BE190" s="129">
        <f t="shared" si="110"/>
        <v>20.651450081115225</v>
      </c>
      <c r="BF190" s="130">
        <f t="shared" si="160"/>
        <v>0.9763897686712033</v>
      </c>
      <c r="BG190" s="137">
        <f t="shared" si="161"/>
        <v>0.2048735061308379</v>
      </c>
      <c r="BH190" s="47"/>
      <c r="BI190" s="47"/>
      <c r="BJ190" s="47"/>
    </row>
    <row r="191" spans="1:62" ht="16.5" thickBot="1">
      <c r="A191" s="108">
        <f>IF(Data!A191&gt;0,Data!A191,"")</f>
        <v>171</v>
      </c>
      <c r="B191" s="109">
        <f>IF(A191&gt;0,IF(Data!$F$5="lb",Data!B191/2.204,Data!B191),"")</f>
        <v>14.889926529622985</v>
      </c>
      <c r="C191" s="109">
        <f>IF(A191&gt;0,Data!C191,"")</f>
        <v>0.06284911185503006</v>
      </c>
      <c r="D191" s="110">
        <f>IF(A191&gt;0,Data!D191,"")</f>
        <v>27.441471099853516</v>
      </c>
      <c r="E191" s="143">
        <f t="shared" si="111"/>
        <v>-0.2800300482965917</v>
      </c>
      <c r="F191" s="144">
        <f t="shared" si="112"/>
        <v>19.359773071293667</v>
      </c>
      <c r="G191" s="145">
        <f t="shared" si="113"/>
        <v>-8.113122584487364</v>
      </c>
      <c r="H191" s="111">
        <f>IF(A191&gt;0,IF(Data!$F$4="F",(Data!F191-32)/1.8,Data!F191),"")</f>
        <v>113.61952887641058</v>
      </c>
      <c r="I191" s="123">
        <f>IF(A191&gt;0,IF(Data!$F$4="F",(Data!G191-32)/1.8,Data!G191),"")</f>
        <v>26.28760443793403</v>
      </c>
      <c r="J191" s="136">
        <f t="shared" si="114"/>
        <v>0.9971444827788459</v>
      </c>
      <c r="K191" s="128">
        <f t="shared" si="115"/>
        <v>0.8691176274272107</v>
      </c>
      <c r="L191" s="128">
        <f t="shared" si="116"/>
        <v>0.8666358470748837</v>
      </c>
      <c r="M191" s="155">
        <f t="shared" si="117"/>
        <v>4.474572361554869</v>
      </c>
      <c r="N191" s="130">
        <f t="shared" si="118"/>
        <v>14.889926529622985</v>
      </c>
      <c r="O191" s="130">
        <f t="shared" si="119"/>
        <v>87.28205004212948</v>
      </c>
      <c r="P191" s="130">
        <f t="shared" si="109"/>
        <v>13.964108116772712</v>
      </c>
      <c r="Q191" s="130">
        <f t="shared" si="120"/>
        <v>85.24411775430713</v>
      </c>
      <c r="R191" s="129">
        <f t="shared" si="144"/>
        <v>4203.269259602804</v>
      </c>
      <c r="S191" s="130">
        <f t="shared" si="121"/>
        <v>4.166666666666667</v>
      </c>
      <c r="T191" s="130">
        <f t="shared" si="122"/>
        <v>6.6</v>
      </c>
      <c r="U191" s="134">
        <f t="shared" si="145"/>
        <v>2.68125</v>
      </c>
      <c r="V191" s="130">
        <f t="shared" si="123"/>
        <v>19887</v>
      </c>
      <c r="W191" s="130">
        <f t="shared" si="124"/>
        <v>19.17</v>
      </c>
      <c r="X191" s="130">
        <f t="shared" si="125"/>
        <v>80.60880237277883</v>
      </c>
      <c r="Y191" s="130">
        <f t="shared" si="126"/>
        <v>21.381645191718523</v>
      </c>
      <c r="Z191" s="130">
        <f t="shared" si="127"/>
        <v>6.606305743351969</v>
      </c>
      <c r="AA191" s="130">
        <f t="shared" si="128"/>
        <v>21.756901515212178</v>
      </c>
      <c r="AB191" s="130">
        <f t="shared" si="129"/>
        <v>0.021953718924660137</v>
      </c>
      <c r="AC191" s="130">
        <f t="shared" si="130"/>
        <v>0.657327421463521</v>
      </c>
      <c r="AD191" s="130">
        <f t="shared" si="131"/>
        <v>41.7470353492265</v>
      </c>
      <c r="AE191" s="130">
        <f t="shared" si="132"/>
        <v>-12.34258958256104</v>
      </c>
      <c r="AF191" s="130">
        <f t="shared" si="133"/>
        <v>0.095613099047501</v>
      </c>
      <c r="AG191" s="130">
        <f t="shared" si="134"/>
        <v>0.0333984528985278</v>
      </c>
      <c r="AH191" s="130">
        <f t="shared" si="135"/>
        <v>122.63112680329934</v>
      </c>
      <c r="AI191" s="130">
        <f t="shared" si="136"/>
        <v>33.09903223993159</v>
      </c>
      <c r="AJ191" s="130">
        <f t="shared" si="137"/>
        <v>13.175906470369913</v>
      </c>
      <c r="AK191" s="130">
        <f t="shared" si="146"/>
        <v>386.76952887641056</v>
      </c>
      <c r="AL191" s="130">
        <f t="shared" si="138"/>
        <v>3448.7379958910005</v>
      </c>
      <c r="AM191" s="130">
        <f t="shared" si="139"/>
        <v>2608.5986531321632</v>
      </c>
      <c r="AN191" s="130">
        <f t="shared" si="140"/>
        <v>2539.9075422420055</v>
      </c>
      <c r="AO191" s="130">
        <f t="shared" si="141"/>
        <v>2511.075967597708</v>
      </c>
      <c r="AP191" s="130">
        <f t="shared" si="142"/>
        <v>3291.0860827441556</v>
      </c>
      <c r="AQ191" s="130">
        <f t="shared" si="143"/>
        <v>3040.4339052437945</v>
      </c>
      <c r="AR191" s="130">
        <f t="shared" si="147"/>
        <v>299.437604437934</v>
      </c>
      <c r="AS191" s="130">
        <f t="shared" si="148"/>
        <v>143.97458702468217</v>
      </c>
      <c r="AT191" s="130">
        <f t="shared" si="149"/>
        <v>-32.1968625612318</v>
      </c>
      <c r="AU191" s="130">
        <f t="shared" si="150"/>
        <v>27.300686170157334</v>
      </c>
      <c r="AV191" s="130">
        <f t="shared" si="151"/>
        <v>307.93607539519206</v>
      </c>
      <c r="AW191" s="130">
        <f t="shared" si="152"/>
        <v>29.83975042186145</v>
      </c>
      <c r="AX191" s="130">
        <f t="shared" si="153"/>
        <v>1555.9667684105975</v>
      </c>
      <c r="AY191" s="130">
        <f t="shared" si="154"/>
        <v>619.3919043605285</v>
      </c>
      <c r="AZ191" s="130">
        <f t="shared" si="155"/>
        <v>2652.2129092217874</v>
      </c>
      <c r="BA191" s="130">
        <f t="shared" si="156"/>
        <v>560.5654443231086</v>
      </c>
      <c r="BB191" s="130">
        <f t="shared" si="157"/>
        <v>12.002472267154438</v>
      </c>
      <c r="BC191" s="130">
        <f t="shared" si="158"/>
        <v>548.5629720559542</v>
      </c>
      <c r="BD191" s="129">
        <f t="shared" si="159"/>
        <v>3642.703815279695</v>
      </c>
      <c r="BE191" s="129">
        <f t="shared" si="110"/>
        <v>23.170667122129693</v>
      </c>
      <c r="BF191" s="130">
        <f t="shared" si="160"/>
        <v>0.5658396339904528</v>
      </c>
      <c r="BG191" s="137">
        <f t="shared" si="161"/>
        <v>0.11294428753390583</v>
      </c>
      <c r="BH191" s="47"/>
      <c r="BI191" s="47"/>
      <c r="BJ191" s="47"/>
    </row>
    <row r="192" spans="1:62" ht="16.5" thickBot="1">
      <c r="A192" s="108">
        <f>IF(Data!A192&gt;0,Data!A192,"")</f>
        <v>172</v>
      </c>
      <c r="B192" s="109">
        <f>IF(A192&gt;0,IF(Data!$F$5="lb",Data!B192/2.204,Data!B192),"")</f>
        <v>14.87408792042256</v>
      </c>
      <c r="C192" s="109">
        <f>IF(A192&gt;0,Data!C192,"")</f>
        <v>0.06016690284013748</v>
      </c>
      <c r="D192" s="110">
        <f>IF(A192&gt;0,Data!D192,"")</f>
        <v>27.441715240478516</v>
      </c>
      <c r="E192" s="143">
        <f t="shared" si="111"/>
        <v>-0.2799662222656397</v>
      </c>
      <c r="F192" s="144">
        <f t="shared" si="112"/>
        <v>19.35991314751784</v>
      </c>
      <c r="G192" s="145">
        <f t="shared" si="113"/>
        <v>-8.111885544380744</v>
      </c>
      <c r="H192" s="111">
        <f>IF(A192&gt;0,IF(Data!$F$4="F",(Data!F192-32)/1.8,Data!F192),"")</f>
        <v>113.53660583496094</v>
      </c>
      <c r="I192" s="123">
        <f>IF(A192&gt;0,IF(Data!$F$4="F",(Data!G192-32)/1.8,Data!G192),"")</f>
        <v>26.631749471028645</v>
      </c>
      <c r="J192" s="136">
        <f t="shared" si="114"/>
        <v>0.9972287090581965</v>
      </c>
      <c r="K192" s="128">
        <f t="shared" si="115"/>
        <v>0.8692608665299727</v>
      </c>
      <c r="L192" s="128">
        <f t="shared" si="116"/>
        <v>0.8668518917644941</v>
      </c>
      <c r="M192" s="155">
        <f t="shared" si="117"/>
        <v>4.475098538608348</v>
      </c>
      <c r="N192" s="130">
        <f t="shared" si="118"/>
        <v>14.87408792042256</v>
      </c>
      <c r="O192" s="130">
        <f t="shared" si="119"/>
        <v>87.29557829150079</v>
      </c>
      <c r="P192" s="130">
        <f aca="true" t="shared" si="162" ref="P192:P255">IF(A192&gt;0,($B192)*(1-0.01*$AI$2*EXP(-0.0129*$O192)),"")</f>
        <v>13.949415695417844</v>
      </c>
      <c r="Q192" s="130">
        <f t="shared" si="120"/>
        <v>85.25964324563128</v>
      </c>
      <c r="R192" s="129">
        <f t="shared" si="144"/>
        <v>4098.171781489352</v>
      </c>
      <c r="S192" s="130">
        <f t="shared" si="121"/>
        <v>4.166666666666667</v>
      </c>
      <c r="T192" s="130">
        <f t="shared" si="122"/>
        <v>6.6</v>
      </c>
      <c r="U192" s="134">
        <f t="shared" si="145"/>
        <v>2.68125</v>
      </c>
      <c r="V192" s="130">
        <f t="shared" si="123"/>
        <v>19887</v>
      </c>
      <c r="W192" s="130">
        <f t="shared" si="124"/>
        <v>19.17</v>
      </c>
      <c r="X192" s="130">
        <f t="shared" si="125"/>
        <v>80.61000340106209</v>
      </c>
      <c r="Y192" s="130">
        <f t="shared" si="126"/>
        <v>21.381963766859972</v>
      </c>
      <c r="Z192" s="130">
        <f t="shared" si="127"/>
        <v>6.605627400220757</v>
      </c>
      <c r="AA192" s="130">
        <f t="shared" si="128"/>
        <v>21.75543970552616</v>
      </c>
      <c r="AB192" s="130">
        <f t="shared" si="129"/>
        <v>0.021565357601168955</v>
      </c>
      <c r="AC192" s="130">
        <f t="shared" si="130"/>
        <v>0.6572599263219653</v>
      </c>
      <c r="AD192" s="130">
        <f t="shared" si="131"/>
        <v>41.75169387557628</v>
      </c>
      <c r="AE192" s="130">
        <f t="shared" si="132"/>
        <v>-12.341974947073004</v>
      </c>
      <c r="AF192" s="130">
        <f t="shared" si="133"/>
        <v>0.09154202231198275</v>
      </c>
      <c r="AG192" s="130">
        <f t="shared" si="134"/>
        <v>0.03281100328426984</v>
      </c>
      <c r="AH192" s="130">
        <f t="shared" si="135"/>
        <v>122.64554732882722</v>
      </c>
      <c r="AI192" s="130">
        <f t="shared" si="136"/>
        <v>33.100207139160105</v>
      </c>
      <c r="AJ192" s="130">
        <f t="shared" si="137"/>
        <v>13.175906470369913</v>
      </c>
      <c r="AK192" s="130">
        <f t="shared" si="146"/>
        <v>386.6866058349609</v>
      </c>
      <c r="AL192" s="130">
        <f t="shared" si="138"/>
        <v>3432.2022473262123</v>
      </c>
      <c r="AM192" s="130">
        <f t="shared" si="139"/>
        <v>2595.9443153119687</v>
      </c>
      <c r="AN192" s="130">
        <f t="shared" si="140"/>
        <v>2527.5505232426344</v>
      </c>
      <c r="AO192" s="130">
        <f t="shared" si="141"/>
        <v>2498.8667503764427</v>
      </c>
      <c r="AP192" s="130">
        <f t="shared" si="142"/>
        <v>3275.627748753246</v>
      </c>
      <c r="AQ192" s="130">
        <f t="shared" si="143"/>
        <v>3025.63036163877</v>
      </c>
      <c r="AR192" s="130">
        <f t="shared" si="147"/>
        <v>299.7817494710286</v>
      </c>
      <c r="AS192" s="130">
        <f t="shared" si="148"/>
        <v>143.30025754942895</v>
      </c>
      <c r="AT192" s="130">
        <f t="shared" si="149"/>
        <v>-32.0390797035769</v>
      </c>
      <c r="AU192" s="130">
        <f t="shared" si="150"/>
        <v>26.13712860652827</v>
      </c>
      <c r="AV192" s="130">
        <f t="shared" si="151"/>
        <v>306.47488030172667</v>
      </c>
      <c r="AW192" s="130">
        <f t="shared" si="152"/>
        <v>29.314388072334896</v>
      </c>
      <c r="AX192" s="130">
        <f t="shared" si="153"/>
        <v>1555.5319993985058</v>
      </c>
      <c r="AY192" s="130">
        <f t="shared" si="154"/>
        <v>619.1968542545586</v>
      </c>
      <c r="AZ192" s="130">
        <f t="shared" si="155"/>
        <v>2647.9164284795065</v>
      </c>
      <c r="BA192" s="130">
        <f t="shared" si="156"/>
        <v>545.6638199294404</v>
      </c>
      <c r="BB192" s="130">
        <f t="shared" si="157"/>
        <v>11.357192244694097</v>
      </c>
      <c r="BC192" s="130">
        <f t="shared" si="158"/>
        <v>534.3066276847462</v>
      </c>
      <c r="BD192" s="129">
        <f t="shared" si="159"/>
        <v>3552.5079615599116</v>
      </c>
      <c r="BE192" s="129">
        <f t="shared" si="110"/>
        <v>0.8097384661919441</v>
      </c>
      <c r="BF192" s="130">
        <f t="shared" si="160"/>
        <v>0.5282012427447185</v>
      </c>
      <c r="BG192" s="137">
        <f t="shared" si="161"/>
        <v>0.10818333808574374</v>
      </c>
      <c r="BH192" s="47"/>
      <c r="BI192" s="47"/>
      <c r="BJ192" s="47"/>
    </row>
    <row r="193" spans="1:62" ht="16.5" thickBot="1">
      <c r="A193" s="108">
        <f>IF(Data!A193&gt;0,Data!A193,"")</f>
        <v>173</v>
      </c>
      <c r="B193" s="109">
        <f>IF(A193&gt;0,IF(Data!$F$5="lb",Data!B193/2.204,Data!B193),"")</f>
        <v>14.445779976957288</v>
      </c>
      <c r="C193" s="109">
        <f>IF(A193&gt;0,Data!C193,"")</f>
        <v>0.06284911185503006</v>
      </c>
      <c r="D193" s="110">
        <f>IF(A193&gt;0,Data!D193,"")</f>
        <v>27.44137954711914</v>
      </c>
      <c r="E193" s="143">
        <f t="shared" si="111"/>
        <v>-0.2800276517480986</v>
      </c>
      <c r="F193" s="144">
        <f t="shared" si="112"/>
        <v>19.359778331343545</v>
      </c>
      <c r="G193" s="145">
        <f t="shared" si="113"/>
        <v>-8.11302577170311</v>
      </c>
      <c r="H193" s="111">
        <f>IF(A193&gt;0,IF(Data!$F$4="F",(Data!F193-32)/1.8,Data!F193),"")</f>
        <v>113.71727837456596</v>
      </c>
      <c r="I193" s="123">
        <f>IF(A193&gt;0,IF(Data!$F$4="F",(Data!G193-32)/1.8,Data!G193),"")</f>
        <v>26.325285169813366</v>
      </c>
      <c r="J193" s="136">
        <f t="shared" si="114"/>
        <v>0.9971444837473464</v>
      </c>
      <c r="K193" s="128">
        <f t="shared" si="115"/>
        <v>0.8690974774463411</v>
      </c>
      <c r="L193" s="128">
        <f t="shared" si="116"/>
        <v>0.8666157554743529</v>
      </c>
      <c r="M193" s="155">
        <f t="shared" si="117"/>
        <v>4.474586977126301</v>
      </c>
      <c r="N193" s="130">
        <f t="shared" si="118"/>
        <v>14.445779976957288</v>
      </c>
      <c r="O193" s="130">
        <f t="shared" si="119"/>
        <v>87.66140944457688</v>
      </c>
      <c r="P193" s="130">
        <f t="shared" si="162"/>
        <v>13.55196231484287</v>
      </c>
      <c r="Q193" s="130">
        <f t="shared" si="120"/>
        <v>85.6796324947028</v>
      </c>
      <c r="R193" s="129">
        <f t="shared" si="144"/>
        <v>7910.021846399522</v>
      </c>
      <c r="S193" s="130">
        <f t="shared" si="121"/>
        <v>4.166666666666667</v>
      </c>
      <c r="T193" s="130">
        <f t="shared" si="122"/>
        <v>6.6</v>
      </c>
      <c r="U193" s="134">
        <f t="shared" si="145"/>
        <v>2.68125</v>
      </c>
      <c r="V193" s="130">
        <f t="shared" si="123"/>
        <v>19887</v>
      </c>
      <c r="W193" s="130">
        <f t="shared" si="124"/>
        <v>19.17</v>
      </c>
      <c r="X193" s="130">
        <f t="shared" si="125"/>
        <v>80.60879711272894</v>
      </c>
      <c r="Y193" s="130">
        <f t="shared" si="126"/>
        <v>21.381643796479825</v>
      </c>
      <c r="Z193" s="130">
        <f t="shared" si="127"/>
        <v>6.606283733752195</v>
      </c>
      <c r="AA193" s="130">
        <f t="shared" si="128"/>
        <v>21.75682919139562</v>
      </c>
      <c r="AB193" s="130">
        <f t="shared" si="129"/>
        <v>0.021953564993310692</v>
      </c>
      <c r="AC193" s="130">
        <f t="shared" si="130"/>
        <v>0.6573252315083434</v>
      </c>
      <c r="AD193" s="130">
        <f t="shared" si="131"/>
        <v>41.74703515358794</v>
      </c>
      <c r="AE193" s="130">
        <f t="shared" si="132"/>
        <v>-12.342483420401201</v>
      </c>
      <c r="AF193" s="130">
        <f t="shared" si="133"/>
        <v>0.09561341759361981</v>
      </c>
      <c r="AG193" s="130">
        <f t="shared" si="134"/>
        <v>0.03339832999097652</v>
      </c>
      <c r="AH193" s="130">
        <f t="shared" si="135"/>
        <v>122.63152736090547</v>
      </c>
      <c r="AI193" s="130">
        <f t="shared" si="136"/>
        <v>33.09903248574669</v>
      </c>
      <c r="AJ193" s="130">
        <f t="shared" si="137"/>
        <v>13.175906470369913</v>
      </c>
      <c r="AK193" s="130">
        <f t="shared" si="146"/>
        <v>386.86727837456596</v>
      </c>
      <c r="AL193" s="130">
        <f t="shared" si="138"/>
        <v>3451.281726684734</v>
      </c>
      <c r="AM193" s="130">
        <f t="shared" si="139"/>
        <v>2610.4461629319976</v>
      </c>
      <c r="AN193" s="130">
        <f t="shared" si="140"/>
        <v>2541.687684445819</v>
      </c>
      <c r="AO193" s="130">
        <f t="shared" si="141"/>
        <v>2512.8398294828926</v>
      </c>
      <c r="AP193" s="130">
        <f t="shared" si="142"/>
        <v>3293.681156668267</v>
      </c>
      <c r="AQ193" s="130">
        <f t="shared" si="143"/>
        <v>3042.5589119657648</v>
      </c>
      <c r="AR193" s="130">
        <f t="shared" si="147"/>
        <v>299.47528516981333</v>
      </c>
      <c r="AS193" s="130">
        <f t="shared" si="148"/>
        <v>144.08077956884327</v>
      </c>
      <c r="AT193" s="130">
        <f t="shared" si="149"/>
        <v>-32.21938848583812</v>
      </c>
      <c r="AU193" s="130">
        <f t="shared" si="150"/>
        <v>27.30094733103673</v>
      </c>
      <c r="AV193" s="130">
        <f t="shared" si="151"/>
        <v>308.15338630280434</v>
      </c>
      <c r="AW193" s="130">
        <f t="shared" si="152"/>
        <v>29.839727281603164</v>
      </c>
      <c r="AX193" s="130">
        <f t="shared" si="153"/>
        <v>1556.0371156327494</v>
      </c>
      <c r="AY193" s="130">
        <f t="shared" si="154"/>
        <v>619.4199032503461</v>
      </c>
      <c r="AZ193" s="130">
        <f t="shared" si="155"/>
        <v>2652.612470881545</v>
      </c>
      <c r="BA193" s="130">
        <f t="shared" si="156"/>
        <v>1055.0722881633649</v>
      </c>
      <c r="BB193" s="130">
        <f t="shared" si="157"/>
        <v>22.587129156118337</v>
      </c>
      <c r="BC193" s="130">
        <f t="shared" si="158"/>
        <v>1032.4851590072465</v>
      </c>
      <c r="BD193" s="129">
        <f t="shared" si="159"/>
        <v>6854.949558236157</v>
      </c>
      <c r="BE193" s="129">
        <f t="shared" si="110"/>
        <v>22.57044414964472</v>
      </c>
      <c r="BF193" s="130">
        <f t="shared" si="160"/>
        <v>1.0648422695874031</v>
      </c>
      <c r="BG193" s="137">
        <f t="shared" si="161"/>
        <v>0.21254610136220414</v>
      </c>
      <c r="BH193" s="47"/>
      <c r="BI193" s="47"/>
      <c r="BJ193" s="47"/>
    </row>
    <row r="194" spans="1:62" ht="16.5" thickBot="1">
      <c r="A194" s="108">
        <f>IF(Data!A194&gt;0,Data!A194,"")</f>
        <v>174</v>
      </c>
      <c r="B194" s="109">
        <f>IF(A194&gt;0,IF(Data!$F$5="lb",Data!B194/2.204,Data!B194),"")</f>
        <v>14.017127603022026</v>
      </c>
      <c r="C194" s="109">
        <f>IF(A194&gt;0,Data!C194,"")</f>
        <v>0.06283692270517349</v>
      </c>
      <c r="D194" s="110">
        <f>IF(A194&gt;0,Data!D194,"")</f>
        <v>27.441442489624023</v>
      </c>
      <c r="E194" s="143">
        <f t="shared" si="111"/>
        <v>-0.2800289803054352</v>
      </c>
      <c r="F194" s="144">
        <f t="shared" si="112"/>
        <v>19.359775415371885</v>
      </c>
      <c r="G194" s="145">
        <f t="shared" si="113"/>
        <v>-8.113085535604725</v>
      </c>
      <c r="H194" s="111">
        <f>IF(A194&gt;0,IF(Data!$F$4="F",(Data!F194-32)/1.8,Data!F194),"")</f>
        <v>113.53048536512587</v>
      </c>
      <c r="I194" s="123">
        <f>IF(A194&gt;0,IF(Data!$F$4="F",(Data!G194-32)/1.8,Data!G194),"")</f>
        <v>26.461609734429253</v>
      </c>
      <c r="J194" s="136">
        <f t="shared" si="114"/>
        <v>0.9971448658161759</v>
      </c>
      <c r="K194" s="128">
        <f t="shared" si="115"/>
        <v>0.8692024133700677</v>
      </c>
      <c r="L194" s="128">
        <f t="shared" si="116"/>
        <v>0.8667207238469923</v>
      </c>
      <c r="M194" s="155">
        <f t="shared" si="117"/>
        <v>4.474579496972113</v>
      </c>
      <c r="N194" s="130">
        <f t="shared" si="118"/>
        <v>14.017127603022026</v>
      </c>
      <c r="O194" s="130">
        <f t="shared" si="119"/>
        <v>88.02753478644374</v>
      </c>
      <c r="P194" s="130">
        <f t="shared" si="162"/>
        <v>13.153918954189956</v>
      </c>
      <c r="Q194" s="130">
        <f t="shared" si="120"/>
        <v>86.10024517611132</v>
      </c>
      <c r="R194" s="129">
        <f t="shared" si="144"/>
        <v>8357.738377099906</v>
      </c>
      <c r="S194" s="130">
        <f t="shared" si="121"/>
        <v>4.166666666666667</v>
      </c>
      <c r="T194" s="130">
        <f t="shared" si="122"/>
        <v>6.6</v>
      </c>
      <c r="U194" s="134">
        <f t="shared" si="145"/>
        <v>2.68125</v>
      </c>
      <c r="V194" s="130">
        <f t="shared" si="123"/>
        <v>19887</v>
      </c>
      <c r="W194" s="130">
        <f t="shared" si="124"/>
        <v>19.17</v>
      </c>
      <c r="X194" s="130">
        <f t="shared" si="125"/>
        <v>80.60880612327553</v>
      </c>
      <c r="Y194" s="130">
        <f t="shared" si="126"/>
        <v>21.381646186545233</v>
      </c>
      <c r="Z194" s="130">
        <f t="shared" si="127"/>
        <v>6.606295515935623</v>
      </c>
      <c r="AA194" s="130">
        <f t="shared" si="128"/>
        <v>21.75687139444908</v>
      </c>
      <c r="AB194" s="130">
        <f t="shared" si="129"/>
        <v>0.02195190406923686</v>
      </c>
      <c r="AC194" s="130">
        <f t="shared" si="130"/>
        <v>0.6573264038355945</v>
      </c>
      <c r="AD194" s="130">
        <f t="shared" si="131"/>
        <v>41.747056453991874</v>
      </c>
      <c r="AE194" s="130">
        <f t="shared" si="132"/>
        <v>-12.342552327525107</v>
      </c>
      <c r="AF194" s="130">
        <f t="shared" si="133"/>
        <v>0.09559470354227516</v>
      </c>
      <c r="AG194" s="130">
        <f t="shared" si="134"/>
        <v>0.033395743638387765</v>
      </c>
      <c r="AH194" s="130">
        <f t="shared" si="135"/>
        <v>122.63132235813366</v>
      </c>
      <c r="AI194" s="130">
        <f t="shared" si="136"/>
        <v>33.09903765845187</v>
      </c>
      <c r="AJ194" s="130">
        <f t="shared" si="137"/>
        <v>13.175906470369913</v>
      </c>
      <c r="AK194" s="130">
        <f t="shared" si="146"/>
        <v>386.68048536512583</v>
      </c>
      <c r="AL194" s="130">
        <f t="shared" si="138"/>
        <v>3438.4574617118014</v>
      </c>
      <c r="AM194" s="130">
        <f t="shared" si="139"/>
        <v>2600.7746919768065</v>
      </c>
      <c r="AN194" s="130">
        <f t="shared" si="140"/>
        <v>2532.2779068897303</v>
      </c>
      <c r="AO194" s="130">
        <f t="shared" si="141"/>
        <v>2503.535393874043</v>
      </c>
      <c r="AP194" s="130">
        <f t="shared" si="142"/>
        <v>3281.3802718620914</v>
      </c>
      <c r="AQ194" s="130">
        <f t="shared" si="143"/>
        <v>3031.2970254115367</v>
      </c>
      <c r="AR194" s="130">
        <f t="shared" si="147"/>
        <v>299.61160973442924</v>
      </c>
      <c r="AS194" s="130">
        <f t="shared" si="148"/>
        <v>143.54547776873218</v>
      </c>
      <c r="AT194" s="130">
        <f t="shared" si="149"/>
        <v>-32.100197727826725</v>
      </c>
      <c r="AU194" s="130">
        <f t="shared" si="150"/>
        <v>27.294704295334853</v>
      </c>
      <c r="AV194" s="130">
        <f t="shared" si="151"/>
        <v>307.0118559211649</v>
      </c>
      <c r="AW194" s="130">
        <f t="shared" si="152"/>
        <v>29.83700570851187</v>
      </c>
      <c r="AX194" s="130">
        <f t="shared" si="153"/>
        <v>1555.6646012025196</v>
      </c>
      <c r="AY194" s="130">
        <f t="shared" si="154"/>
        <v>619.2715176864277</v>
      </c>
      <c r="AZ194" s="130">
        <f t="shared" si="155"/>
        <v>2650.5249648548643</v>
      </c>
      <c r="BA194" s="130">
        <f t="shared" si="156"/>
        <v>1113.9133211760889</v>
      </c>
      <c r="BB194" s="130">
        <f t="shared" si="157"/>
        <v>23.862393979195737</v>
      </c>
      <c r="BC194" s="130">
        <f t="shared" si="158"/>
        <v>1090.050927196893</v>
      </c>
      <c r="BD194" s="129">
        <f t="shared" si="159"/>
        <v>7243.825055923817</v>
      </c>
      <c r="BE194" s="129">
        <f t="shared" si="110"/>
        <v>22.60092331865009</v>
      </c>
      <c r="BF194" s="130">
        <f t="shared" si="160"/>
        <v>1.1248933790112798</v>
      </c>
      <c r="BG194" s="137">
        <f t="shared" si="161"/>
        <v>0.22455906933240286</v>
      </c>
      <c r="BH194" s="47"/>
      <c r="BI194" s="47"/>
      <c r="BJ194" s="47"/>
    </row>
    <row r="195" spans="1:62" ht="16.5" thickBot="1">
      <c r="A195" s="108">
        <f>IF(Data!A195&gt;0,Data!A195,"")</f>
        <v>175</v>
      </c>
      <c r="B195" s="109">
        <f>IF(A195&gt;0,IF(Data!$F$5="lb",Data!B195/2.204,Data!B195),"")</f>
        <v>13.540961132291873</v>
      </c>
      <c r="C195" s="109">
        <f>IF(A195&gt;0,Data!C195,"")</f>
        <v>0.06284911185503006</v>
      </c>
      <c r="D195" s="110">
        <f>IF(A195&gt;0,Data!D195,"")</f>
        <v>27.44168472290039</v>
      </c>
      <c r="E195" s="143">
        <f t="shared" si="111"/>
        <v>-0.28003564018103033</v>
      </c>
      <c r="F195" s="144">
        <f t="shared" si="112"/>
        <v>19.359760797843943</v>
      </c>
      <c r="G195" s="145">
        <f t="shared" si="113"/>
        <v>-8.113348480983962</v>
      </c>
      <c r="H195" s="111">
        <f>IF(A195&gt;0,IF(Data!$F$4="F",(Data!F195-32)/1.8,Data!F195),"")</f>
        <v>113.88071695963541</v>
      </c>
      <c r="I195" s="123">
        <f>IF(A195&gt;0,IF(Data!$F$4="F",(Data!G195-32)/1.8,Data!G195),"")</f>
        <v>26.767154269748264</v>
      </c>
      <c r="J195" s="136">
        <f t="shared" si="114"/>
        <v>0.9971444805190348</v>
      </c>
      <c r="K195" s="128">
        <f t="shared" si="115"/>
        <v>0.8691850256856797</v>
      </c>
      <c r="L195" s="128">
        <f t="shared" si="116"/>
        <v>0.866703050912271</v>
      </c>
      <c r="M195" s="155">
        <f t="shared" si="117"/>
        <v>4.474538258933579</v>
      </c>
      <c r="N195" s="130">
        <f t="shared" si="118"/>
        <v>13.540961132291873</v>
      </c>
      <c r="O195" s="130">
        <f t="shared" si="119"/>
        <v>88.43424339808895</v>
      </c>
      <c r="P195" s="130">
        <f t="shared" si="162"/>
        <v>12.711439523361008</v>
      </c>
      <c r="Q195" s="130">
        <f t="shared" si="120"/>
        <v>86.5678134821466</v>
      </c>
      <c r="R195" s="129">
        <f t="shared" si="144"/>
        <v>9143.652485790208</v>
      </c>
      <c r="S195" s="130">
        <f t="shared" si="121"/>
        <v>4.166666666666667</v>
      </c>
      <c r="T195" s="130">
        <f t="shared" si="122"/>
        <v>6.6</v>
      </c>
      <c r="U195" s="134">
        <f t="shared" si="145"/>
        <v>2.68125</v>
      </c>
      <c r="V195" s="130">
        <f t="shared" si="123"/>
        <v>19887</v>
      </c>
      <c r="W195" s="130">
        <f t="shared" si="124"/>
        <v>19.17</v>
      </c>
      <c r="X195" s="130">
        <f t="shared" si="125"/>
        <v>80.60881464622854</v>
      </c>
      <c r="Y195" s="130">
        <f t="shared" si="126"/>
        <v>21.381648447275474</v>
      </c>
      <c r="Z195" s="130">
        <f t="shared" si="127"/>
        <v>6.6063570990847795</v>
      </c>
      <c r="AA195" s="130">
        <f t="shared" si="128"/>
        <v>21.757070270784116</v>
      </c>
      <c r="AB195" s="130">
        <f t="shared" si="129"/>
        <v>0.02195407809782779</v>
      </c>
      <c r="AC195" s="130">
        <f t="shared" si="130"/>
        <v>0.6573325313589355</v>
      </c>
      <c r="AD195" s="130">
        <f t="shared" si="131"/>
        <v>41.7470358057114</v>
      </c>
      <c r="AE195" s="130">
        <f t="shared" si="132"/>
        <v>-12.34283729151643</v>
      </c>
      <c r="AF195" s="130">
        <f t="shared" si="133"/>
        <v>0.09561235578147795</v>
      </c>
      <c r="AG195" s="130">
        <f t="shared" si="134"/>
        <v>0.03339873967965811</v>
      </c>
      <c r="AH195" s="130">
        <f t="shared" si="135"/>
        <v>122.6301921792643</v>
      </c>
      <c r="AI195" s="130">
        <f t="shared" si="136"/>
        <v>33.09903166636933</v>
      </c>
      <c r="AJ195" s="130">
        <f t="shared" si="137"/>
        <v>13.175906470369913</v>
      </c>
      <c r="AK195" s="130">
        <f t="shared" si="146"/>
        <v>387.03071695963536</v>
      </c>
      <c r="AL195" s="130">
        <f t="shared" si="138"/>
        <v>3441.050550312133</v>
      </c>
      <c r="AM195" s="130">
        <f t="shared" si="139"/>
        <v>2602.3665799631704</v>
      </c>
      <c r="AN195" s="130">
        <f t="shared" si="140"/>
        <v>2533.737523828784</v>
      </c>
      <c r="AO195" s="130">
        <f t="shared" si="141"/>
        <v>2504.9973971605123</v>
      </c>
      <c r="AP195" s="130">
        <f t="shared" si="142"/>
        <v>3284.6639569056156</v>
      </c>
      <c r="AQ195" s="130">
        <f t="shared" si="143"/>
        <v>3033.0156142953224</v>
      </c>
      <c r="AR195" s="130">
        <f t="shared" si="147"/>
        <v>299.91715426974827</v>
      </c>
      <c r="AS195" s="130">
        <f t="shared" si="148"/>
        <v>143.65366053314355</v>
      </c>
      <c r="AT195" s="130">
        <f t="shared" si="149"/>
        <v>-32.120587269365494</v>
      </c>
      <c r="AU195" s="130">
        <f t="shared" si="150"/>
        <v>27.29988401325299</v>
      </c>
      <c r="AV195" s="130">
        <f t="shared" si="151"/>
        <v>307.1883122223505</v>
      </c>
      <c r="AW195" s="130">
        <f t="shared" si="152"/>
        <v>29.839792154717596</v>
      </c>
      <c r="AX195" s="130">
        <f t="shared" si="153"/>
        <v>1555.7212032007465</v>
      </c>
      <c r="AY195" s="130">
        <f t="shared" si="154"/>
        <v>619.2941616528215</v>
      </c>
      <c r="AZ195" s="130">
        <f t="shared" si="155"/>
        <v>2650.876426507667</v>
      </c>
      <c r="BA195" s="130">
        <f t="shared" si="156"/>
        <v>1218.8209798742641</v>
      </c>
      <c r="BB195" s="130">
        <f t="shared" si="157"/>
        <v>26.109800598408405</v>
      </c>
      <c r="BC195" s="130">
        <f t="shared" si="158"/>
        <v>1192.7111792758558</v>
      </c>
      <c r="BD195" s="129">
        <f t="shared" si="159"/>
        <v>7924.831505915943</v>
      </c>
      <c r="BE195" s="129">
        <f t="shared" si="110"/>
        <v>25.127396217452077</v>
      </c>
      <c r="BF195" s="130">
        <f t="shared" si="160"/>
        <v>1.230899196921603</v>
      </c>
      <c r="BG195" s="137">
        <f t="shared" si="161"/>
        <v>0.24569736538978504</v>
      </c>
      <c r="BH195" s="47"/>
      <c r="BI195" s="47"/>
      <c r="BJ195" s="47"/>
    </row>
    <row r="196" spans="1:62" ht="16.5" thickBot="1">
      <c r="A196" s="108">
        <f>IF(Data!A196&gt;0,Data!A196,"")</f>
        <v>176</v>
      </c>
      <c r="B196" s="109">
        <f>IF(A196&gt;0,IF(Data!$F$5="lb",Data!B196/2.204,Data!B196),"")</f>
        <v>13.027954447723776</v>
      </c>
      <c r="C196" s="109">
        <f>IF(A196&gt;0,Data!C196,"")</f>
        <v>0.06017909198999405</v>
      </c>
      <c r="D196" s="110">
        <f>IF(A196&gt;0,Data!D196,"")</f>
        <v>27.441410064697266</v>
      </c>
      <c r="E196" s="143">
        <f t="shared" si="111"/>
        <v>-0.27995855142633563</v>
      </c>
      <c r="F196" s="144">
        <f t="shared" si="112"/>
        <v>19.359929980704813</v>
      </c>
      <c r="G196" s="145">
        <f t="shared" si="113"/>
        <v>-8.11156962998745</v>
      </c>
      <c r="H196" s="111">
        <f>IF(A196&gt;0,IF(Data!$F$4="F",(Data!F196-32)/1.8,Data!F196),"")</f>
        <v>113.90349494086371</v>
      </c>
      <c r="I196" s="123">
        <f>IF(A196&gt;0,IF(Data!$F$4="F",(Data!G196-32)/1.8,Data!G196),"")</f>
        <v>26.51620652940538</v>
      </c>
      <c r="J196" s="136">
        <f t="shared" si="114"/>
        <v>0.9972283304022063</v>
      </c>
      <c r="K196" s="128">
        <f t="shared" si="115"/>
        <v>0.8691032263920492</v>
      </c>
      <c r="L196" s="128">
        <f t="shared" si="116"/>
        <v>0.8666943594021139</v>
      </c>
      <c r="M196" s="155">
        <f t="shared" si="117"/>
        <v>4.475144699767861</v>
      </c>
      <c r="N196" s="130">
        <f t="shared" si="118"/>
        <v>13.027954447723776</v>
      </c>
      <c r="O196" s="130">
        <f t="shared" si="119"/>
        <v>88.87241838366796</v>
      </c>
      <c r="P196" s="130">
        <f t="shared" si="162"/>
        <v>12.23435818727788</v>
      </c>
      <c r="Q196" s="130">
        <f t="shared" si="120"/>
        <v>87.07194564425762</v>
      </c>
      <c r="R196" s="129">
        <f t="shared" si="144"/>
        <v>4648.302852331288</v>
      </c>
      <c r="S196" s="130">
        <f t="shared" si="121"/>
        <v>4.166666666666667</v>
      </c>
      <c r="T196" s="130">
        <f t="shared" si="122"/>
        <v>6.6</v>
      </c>
      <c r="U196" s="134">
        <f t="shared" si="145"/>
        <v>2.68125</v>
      </c>
      <c r="V196" s="130">
        <f t="shared" si="123"/>
        <v>19887</v>
      </c>
      <c r="W196" s="130">
        <f t="shared" si="124"/>
        <v>19.17</v>
      </c>
      <c r="X196" s="130">
        <f t="shared" si="125"/>
        <v>80.6099804733002</v>
      </c>
      <c r="Y196" s="130">
        <f t="shared" si="126"/>
        <v>21.381957685225515</v>
      </c>
      <c r="Z196" s="130">
        <f t="shared" si="127"/>
        <v>6.605557384304589</v>
      </c>
      <c r="AA196" s="130">
        <f t="shared" si="128"/>
        <v>21.75520614570808</v>
      </c>
      <c r="AB196" s="130">
        <f t="shared" si="129"/>
        <v>0.021566611248530876</v>
      </c>
      <c r="AC196" s="130">
        <f t="shared" si="130"/>
        <v>0.6572529597383067</v>
      </c>
      <c r="AD196" s="130">
        <f t="shared" si="131"/>
        <v>41.75167210448683</v>
      </c>
      <c r="AE196" s="130">
        <f t="shared" si="132"/>
        <v>-12.341625107655918</v>
      </c>
      <c r="AF196" s="130">
        <f t="shared" si="133"/>
        <v>0.09156153821498969</v>
      </c>
      <c r="AG196" s="130">
        <f t="shared" si="134"/>
        <v>0.03281325847070797</v>
      </c>
      <c r="AH196" s="130">
        <f t="shared" si="135"/>
        <v>122.64681243184671</v>
      </c>
      <c r="AI196" s="130">
        <f t="shared" si="136"/>
        <v>33.10020262878722</v>
      </c>
      <c r="AJ196" s="130">
        <f t="shared" si="137"/>
        <v>13.175906470369913</v>
      </c>
      <c r="AK196" s="130">
        <f t="shared" si="146"/>
        <v>387.0534949408637</v>
      </c>
      <c r="AL196" s="130">
        <f t="shared" si="138"/>
        <v>3451.573802522566</v>
      </c>
      <c r="AM196" s="130">
        <f t="shared" si="139"/>
        <v>2610.453934981635</v>
      </c>
      <c r="AN196" s="130">
        <f t="shared" si="140"/>
        <v>2541.643131140627</v>
      </c>
      <c r="AO196" s="130">
        <f t="shared" si="141"/>
        <v>2512.8067163351493</v>
      </c>
      <c r="AP196" s="130">
        <f t="shared" si="142"/>
        <v>3294.4266373340092</v>
      </c>
      <c r="AQ196" s="130">
        <f t="shared" si="143"/>
        <v>3042.489041851216</v>
      </c>
      <c r="AR196" s="130">
        <f t="shared" si="147"/>
        <v>299.6662065294054</v>
      </c>
      <c r="AS196" s="130">
        <f t="shared" si="148"/>
        <v>144.10897764735896</v>
      </c>
      <c r="AT196" s="130">
        <f t="shared" si="149"/>
        <v>-32.217243826348536</v>
      </c>
      <c r="AU196" s="130">
        <f t="shared" si="150"/>
        <v>26.143991138755375</v>
      </c>
      <c r="AV196" s="130">
        <f t="shared" si="151"/>
        <v>308.1877340158417</v>
      </c>
      <c r="AW196" s="130">
        <f t="shared" si="152"/>
        <v>29.31701978001515</v>
      </c>
      <c r="AX196" s="130">
        <f t="shared" si="153"/>
        <v>1556.0898131662855</v>
      </c>
      <c r="AY196" s="130">
        <f t="shared" si="154"/>
        <v>619.4189826482517</v>
      </c>
      <c r="AZ196" s="130">
        <f t="shared" si="155"/>
        <v>2651.04927457016</v>
      </c>
      <c r="BA196" s="130">
        <f t="shared" si="156"/>
        <v>619.6449894230033</v>
      </c>
      <c r="BB196" s="130">
        <f t="shared" si="157"/>
        <v>12.883521027449207</v>
      </c>
      <c r="BC196" s="130">
        <f t="shared" si="158"/>
        <v>606.7614683955541</v>
      </c>
      <c r="BD196" s="129">
        <f t="shared" si="159"/>
        <v>4028.6578629082846</v>
      </c>
      <c r="BE196" s="129">
        <f t="shared" si="110"/>
        <v>26.296815460586107</v>
      </c>
      <c r="BF196" s="130">
        <f t="shared" si="160"/>
        <v>0.5992337335425227</v>
      </c>
      <c r="BG196" s="137">
        <f t="shared" si="161"/>
        <v>0.12271410504846435</v>
      </c>
      <c r="BH196" s="47"/>
      <c r="BI196" s="47"/>
      <c r="BJ196" s="47"/>
    </row>
    <row r="197" spans="1:62" ht="16.5" thickBot="1">
      <c r="A197" s="108">
        <f>IF(Data!A197&gt;0,Data!A197,"")</f>
        <v>177</v>
      </c>
      <c r="B197" s="109">
        <f>IF(A197&gt;0,IF(Data!$F$5="lb",Data!B197/2.204,Data!B197),"")</f>
        <v>13.03828390021073</v>
      </c>
      <c r="C197" s="109">
        <f>IF(A197&gt;0,Data!C197,"")</f>
        <v>0.06024005264043808</v>
      </c>
      <c r="D197" s="110">
        <f>IF(A197&gt;0,Data!D197,"")</f>
        <v>27.44150161743164</v>
      </c>
      <c r="E197" s="143">
        <f t="shared" si="111"/>
        <v>-0.27996254448102464</v>
      </c>
      <c r="F197" s="144">
        <f t="shared" si="112"/>
        <v>19.35992121823565</v>
      </c>
      <c r="G197" s="145">
        <f t="shared" si="113"/>
        <v>-8.111700425516208</v>
      </c>
      <c r="H197" s="111">
        <f>IF(A197&gt;0,IF(Data!$F$4="F",(Data!F197-32)/1.8,Data!F197),"")</f>
        <v>114.13527594672308</v>
      </c>
      <c r="I197" s="123">
        <f>IF(A197&gt;0,IF(Data!$F$4="F",(Data!G197-32)/1.8,Data!G197),"")</f>
        <v>26.930872599283852</v>
      </c>
      <c r="J197" s="136">
        <f t="shared" si="114"/>
        <v>0.9972264145976746</v>
      </c>
      <c r="K197" s="128">
        <f t="shared" si="115"/>
        <v>0.8691593567623648</v>
      </c>
      <c r="L197" s="128">
        <f t="shared" si="116"/>
        <v>0.8667486690581541</v>
      </c>
      <c r="M197" s="155">
        <f t="shared" si="117"/>
        <v>4.475117234520832</v>
      </c>
      <c r="N197" s="130">
        <f t="shared" si="118"/>
        <v>13.03828390021073</v>
      </c>
      <c r="O197" s="130">
        <f t="shared" si="119"/>
        <v>88.8635956766143</v>
      </c>
      <c r="P197" s="130">
        <f t="shared" si="162"/>
        <v>12.24396802415738</v>
      </c>
      <c r="Q197" s="130">
        <f t="shared" si="120"/>
        <v>87.06179092329668</v>
      </c>
      <c r="R197" s="129">
        <f t="shared" si="144"/>
        <v>4145.196166911603</v>
      </c>
      <c r="S197" s="130">
        <f t="shared" si="121"/>
        <v>4.166666666666667</v>
      </c>
      <c r="T197" s="130">
        <f t="shared" si="122"/>
        <v>6.6</v>
      </c>
      <c r="U197" s="134">
        <f t="shared" si="145"/>
        <v>2.68125</v>
      </c>
      <c r="V197" s="130">
        <f t="shared" si="123"/>
        <v>19887</v>
      </c>
      <c r="W197" s="130">
        <f t="shared" si="124"/>
        <v>19.17</v>
      </c>
      <c r="X197" s="130">
        <f t="shared" si="125"/>
        <v>80.60995875544413</v>
      </c>
      <c r="Y197" s="130">
        <f t="shared" si="126"/>
        <v>21.381951924520987</v>
      </c>
      <c r="Z197" s="130">
        <f t="shared" si="127"/>
        <v>6.6055961450810905</v>
      </c>
      <c r="AA197" s="130">
        <f t="shared" si="128"/>
        <v>21.75531607656933</v>
      </c>
      <c r="AB197" s="130">
        <f t="shared" si="129"/>
        <v>0.02157560109913348</v>
      </c>
      <c r="AC197" s="130">
        <f t="shared" si="130"/>
        <v>0.6572568164355685</v>
      </c>
      <c r="AD197" s="130">
        <f t="shared" si="131"/>
        <v>41.75156640634362</v>
      </c>
      <c r="AE197" s="130">
        <f t="shared" si="132"/>
        <v>-12.341751690773686</v>
      </c>
      <c r="AF197" s="130">
        <f t="shared" si="133"/>
        <v>0.09165375106664027</v>
      </c>
      <c r="AG197" s="130">
        <f t="shared" si="134"/>
        <v>0.03282674376226656</v>
      </c>
      <c r="AH197" s="130">
        <f t="shared" si="135"/>
        <v>122.64605971316904</v>
      </c>
      <c r="AI197" s="130">
        <f t="shared" si="136"/>
        <v>33.1001756582041</v>
      </c>
      <c r="AJ197" s="130">
        <f t="shared" si="137"/>
        <v>13.175906470369913</v>
      </c>
      <c r="AK197" s="130">
        <f t="shared" si="146"/>
        <v>387.28527594672306</v>
      </c>
      <c r="AL197" s="130">
        <f t="shared" si="138"/>
        <v>3445.1677204284906</v>
      </c>
      <c r="AM197" s="130">
        <f t="shared" si="139"/>
        <v>2605.2444273444353</v>
      </c>
      <c r="AN197" s="130">
        <f t="shared" si="140"/>
        <v>2536.481797345653</v>
      </c>
      <c r="AO197" s="130">
        <f t="shared" si="141"/>
        <v>2507.72264361098</v>
      </c>
      <c r="AP197" s="130">
        <f t="shared" si="142"/>
        <v>3289.11047045564</v>
      </c>
      <c r="AQ197" s="130">
        <f t="shared" si="143"/>
        <v>3036.2823509592736</v>
      </c>
      <c r="AR197" s="130">
        <f t="shared" si="147"/>
        <v>300.08087259928385</v>
      </c>
      <c r="AS197" s="130">
        <f t="shared" si="148"/>
        <v>143.8411488604616</v>
      </c>
      <c r="AT197" s="130">
        <f t="shared" si="149"/>
        <v>-32.15327981605691</v>
      </c>
      <c r="AU197" s="130">
        <f t="shared" si="150"/>
        <v>26.169848046840716</v>
      </c>
      <c r="AV197" s="130">
        <f t="shared" si="151"/>
        <v>307.5623010923784</v>
      </c>
      <c r="AW197" s="130">
        <f t="shared" si="152"/>
        <v>29.328893707063585</v>
      </c>
      <c r="AX197" s="130">
        <f t="shared" si="153"/>
        <v>1555.8831026802332</v>
      </c>
      <c r="AY197" s="130">
        <f t="shared" si="154"/>
        <v>619.337203869569</v>
      </c>
      <c r="AZ197" s="130">
        <f t="shared" si="155"/>
        <v>2649.9692184404894</v>
      </c>
      <c r="BA197" s="130">
        <f t="shared" si="156"/>
        <v>552.3529062560091</v>
      </c>
      <c r="BB197" s="130">
        <f t="shared" si="157"/>
        <v>11.49702108212374</v>
      </c>
      <c r="BC197" s="130">
        <f t="shared" si="158"/>
        <v>540.8558851738853</v>
      </c>
      <c r="BD197" s="129">
        <f t="shared" si="159"/>
        <v>3592.8432606555934</v>
      </c>
      <c r="BE197" s="129">
        <f aca="true" t="shared" si="163" ref="BE197:BE260">IF(A197&gt;0,(P196-P197)*(0.001*AF197*(282993)+0.001*AG197*(890156)),"")</f>
        <v>-0.5300621972826913</v>
      </c>
      <c r="BF197" s="130">
        <f t="shared" si="160"/>
        <v>0.5349141536142308</v>
      </c>
      <c r="BG197" s="137">
        <f t="shared" si="161"/>
        <v>0.10947717999942612</v>
      </c>
      <c r="BH197" s="47"/>
      <c r="BI197" s="47"/>
      <c r="BJ197" s="47"/>
    </row>
    <row r="198" spans="1:62" ht="16.5" thickBot="1">
      <c r="A198" s="108">
        <f>IF(Data!A198&gt;0,Data!A198,"")</f>
        <v>178</v>
      </c>
      <c r="B198" s="109">
        <f>IF(A198&gt;0,IF(Data!$F$5="lb",Data!B198/2.204,Data!B198),"")</f>
        <v>12.580020890694563</v>
      </c>
      <c r="C198" s="109">
        <f>IF(A198&gt;0,Data!C198,"")</f>
        <v>0.06017909198999405</v>
      </c>
      <c r="D198" s="110">
        <f>IF(A198&gt;0,Data!D198,"")</f>
        <v>27.441532135009766</v>
      </c>
      <c r="E198" s="143">
        <f t="shared" si="111"/>
        <v>-0.27996174743417357</v>
      </c>
      <c r="F198" s="144">
        <f t="shared" si="112"/>
        <v>19.35992296730497</v>
      </c>
      <c r="G198" s="145">
        <f t="shared" si="113"/>
        <v>-8.111698713699791</v>
      </c>
      <c r="H198" s="111">
        <f>IF(A198&gt;0,IF(Data!$F$4="F",(Data!F198-32)/1.8,Data!F198),"")</f>
        <v>114.232423570421</v>
      </c>
      <c r="I198" s="123">
        <f>IF(A198&gt;0,IF(Data!$F$4="F",(Data!G198-32)/1.8,Data!G198),"")</f>
        <v>27.222624884711372</v>
      </c>
      <c r="J198" s="136">
        <f t="shared" si="114"/>
        <v>0.9972283287382322</v>
      </c>
      <c r="K198" s="128">
        <f t="shared" si="115"/>
        <v>0.8692207261686119</v>
      </c>
      <c r="L198" s="128">
        <f t="shared" si="116"/>
        <v>0.8668115320617573</v>
      </c>
      <c r="M198" s="155">
        <f t="shared" si="117"/>
        <v>4.475125207740342</v>
      </c>
      <c r="N198" s="130">
        <f t="shared" si="118"/>
        <v>12.580020890694563</v>
      </c>
      <c r="O198" s="130">
        <f t="shared" si="119"/>
        <v>89.25501238447883</v>
      </c>
      <c r="P198" s="130">
        <f t="shared" si="162"/>
        <v>11.817483227061498</v>
      </c>
      <c r="Q198" s="130">
        <f t="shared" si="120"/>
        <v>87.51245768932995</v>
      </c>
      <c r="R198" s="129">
        <f t="shared" si="144"/>
        <v>8458.968193591305</v>
      </c>
      <c r="S198" s="130">
        <f t="shared" si="121"/>
        <v>4.166666666666667</v>
      </c>
      <c r="T198" s="130">
        <f t="shared" si="122"/>
        <v>6.6</v>
      </c>
      <c r="U198" s="134">
        <f t="shared" si="145"/>
        <v>2.68125</v>
      </c>
      <c r="V198" s="130">
        <f t="shared" si="123"/>
        <v>19887</v>
      </c>
      <c r="W198" s="130">
        <f t="shared" si="124"/>
        <v>19.17</v>
      </c>
      <c r="X198" s="130">
        <f t="shared" si="125"/>
        <v>80.60998748670004</v>
      </c>
      <c r="Y198" s="130">
        <f t="shared" si="126"/>
        <v>21.381959545543776</v>
      </c>
      <c r="Z198" s="130">
        <f t="shared" si="127"/>
        <v>6.605586730437621</v>
      </c>
      <c r="AA198" s="130">
        <f t="shared" si="128"/>
        <v>21.755302577463485</v>
      </c>
      <c r="AB198" s="130">
        <f t="shared" si="129"/>
        <v>0.02156681649033132</v>
      </c>
      <c r="AC198" s="130">
        <f t="shared" si="130"/>
        <v>0.6572558796785433</v>
      </c>
      <c r="AD198" s="130">
        <f t="shared" si="131"/>
        <v>41.751672344766426</v>
      </c>
      <c r="AE198" s="130">
        <f t="shared" si="132"/>
        <v>-12.341766676423093</v>
      </c>
      <c r="AF198" s="130">
        <f t="shared" si="133"/>
        <v>0.09156113144157339</v>
      </c>
      <c r="AG198" s="130">
        <f t="shared" si="134"/>
        <v>0.032813424964534994</v>
      </c>
      <c r="AH198" s="130">
        <f t="shared" si="135"/>
        <v>122.6462782289989</v>
      </c>
      <c r="AI198" s="130">
        <f t="shared" si="136"/>
        <v>33.10020229579957</v>
      </c>
      <c r="AJ198" s="130">
        <f t="shared" si="137"/>
        <v>13.175906470369913</v>
      </c>
      <c r="AK198" s="130">
        <f t="shared" si="146"/>
        <v>387.382423570421</v>
      </c>
      <c r="AL198" s="130">
        <f t="shared" si="138"/>
        <v>3437.9701636877053</v>
      </c>
      <c r="AM198" s="130">
        <f t="shared" si="139"/>
        <v>2599.582855800903</v>
      </c>
      <c r="AN198" s="130">
        <f t="shared" si="140"/>
        <v>2530.916151172498</v>
      </c>
      <c r="AO198" s="130">
        <f t="shared" si="141"/>
        <v>2502.2313275703063</v>
      </c>
      <c r="AP198" s="130">
        <f t="shared" si="142"/>
        <v>3282.7179842362666</v>
      </c>
      <c r="AQ198" s="130">
        <f t="shared" si="143"/>
        <v>3029.603045700544</v>
      </c>
      <c r="AR198" s="130">
        <f t="shared" si="147"/>
        <v>300.37262488471134</v>
      </c>
      <c r="AS198" s="130">
        <f t="shared" si="148"/>
        <v>143.54100380537207</v>
      </c>
      <c r="AT198" s="130">
        <f t="shared" si="149"/>
        <v>-32.083445062324365</v>
      </c>
      <c r="AU198" s="130">
        <f t="shared" si="150"/>
        <v>26.142892816430283</v>
      </c>
      <c r="AV198" s="130">
        <f t="shared" si="151"/>
        <v>306.8893595945051</v>
      </c>
      <c r="AW198" s="130">
        <f t="shared" si="152"/>
        <v>29.31678433298608</v>
      </c>
      <c r="AX198" s="130">
        <f t="shared" si="153"/>
        <v>1555.6632684326698</v>
      </c>
      <c r="AY198" s="130">
        <f t="shared" si="154"/>
        <v>619.249197968193</v>
      </c>
      <c r="AZ198" s="130">
        <f t="shared" si="155"/>
        <v>2648.719061887832</v>
      </c>
      <c r="BA198" s="130">
        <f t="shared" si="156"/>
        <v>1126.63701404275</v>
      </c>
      <c r="BB198" s="130">
        <f t="shared" si="157"/>
        <v>23.44540867495203</v>
      </c>
      <c r="BC198" s="130">
        <f t="shared" si="158"/>
        <v>1103.191605367798</v>
      </c>
      <c r="BD198" s="129">
        <f t="shared" si="159"/>
        <v>7332.331179548555</v>
      </c>
      <c r="BE198" s="129">
        <f t="shared" si="163"/>
        <v>23.50793856473727</v>
      </c>
      <c r="BF198" s="130">
        <f t="shared" si="160"/>
        <v>1.0904789843484717</v>
      </c>
      <c r="BG198" s="137">
        <f t="shared" si="161"/>
        <v>0.2233159093661559</v>
      </c>
      <c r="BH198" s="47"/>
      <c r="BI198" s="47"/>
      <c r="BJ198" s="47"/>
    </row>
    <row r="199" spans="1:62" ht="16.5" thickBot="1">
      <c r="A199" s="108">
        <f>IF(Data!A199&gt;0,Data!A199,"")</f>
        <v>179</v>
      </c>
      <c r="B199" s="109">
        <f>IF(A199&gt;0,IF(Data!$F$5="lb",Data!B199/2.204,Data!B199),"")</f>
        <v>12.124512459535131</v>
      </c>
      <c r="C199" s="109">
        <f>IF(A199&gt;0,Data!C199,"")</f>
        <v>0.06020347774028778</v>
      </c>
      <c r="D199" s="110">
        <f>IF(A199&gt;0,Data!D199,"")</f>
        <v>27.441471099853516</v>
      </c>
      <c r="E199" s="143">
        <f t="shared" si="111"/>
        <v>-0.27996078789354095</v>
      </c>
      <c r="F199" s="144">
        <f t="shared" si="112"/>
        <v>19.35992507295157</v>
      </c>
      <c r="G199" s="145">
        <f t="shared" si="113"/>
        <v>-8.11164776577209</v>
      </c>
      <c r="H199" s="111">
        <f>IF(A199&gt;0,IF(Data!$F$4="F",(Data!F199-32)/1.8,Data!F199),"")</f>
        <v>114.43802727593315</v>
      </c>
      <c r="I199" s="123">
        <f>IF(A199&gt;0,IF(Data!$F$4="F",(Data!G199-32)/1.8,Data!G199),"")</f>
        <v>27.086715698242188</v>
      </c>
      <c r="J199" s="136">
        <f t="shared" si="114"/>
        <v>0.997227563698782</v>
      </c>
      <c r="K199" s="128">
        <f t="shared" si="115"/>
        <v>0.8691096911414345</v>
      </c>
      <c r="L199" s="128">
        <f t="shared" si="116"/>
        <v>0.8667001398839735</v>
      </c>
      <c r="M199" s="155">
        <f t="shared" si="117"/>
        <v>4.47512981491591</v>
      </c>
      <c r="N199" s="130">
        <f t="shared" si="118"/>
        <v>12.124512459535131</v>
      </c>
      <c r="O199" s="130">
        <f t="shared" si="119"/>
        <v>89.64407632118454</v>
      </c>
      <c r="P199" s="130">
        <f t="shared" si="162"/>
        <v>11.393264731193</v>
      </c>
      <c r="Q199" s="130">
        <f t="shared" si="120"/>
        <v>87.96072965336336</v>
      </c>
      <c r="R199" s="129">
        <f t="shared" si="144"/>
        <v>4081.0744987482067</v>
      </c>
      <c r="S199" s="130">
        <f t="shared" si="121"/>
        <v>4.166666666666667</v>
      </c>
      <c r="T199" s="130">
        <f t="shared" si="122"/>
        <v>6.6</v>
      </c>
      <c r="U199" s="134">
        <f t="shared" si="145"/>
        <v>2.68125</v>
      </c>
      <c r="V199" s="130">
        <f t="shared" si="123"/>
        <v>19887</v>
      </c>
      <c r="W199" s="130">
        <f t="shared" si="124"/>
        <v>19.17</v>
      </c>
      <c r="X199" s="130">
        <f t="shared" si="125"/>
        <v>80.60997318817829</v>
      </c>
      <c r="Y199" s="130">
        <f t="shared" si="126"/>
        <v>21.381955752832436</v>
      </c>
      <c r="Z199" s="130">
        <f t="shared" si="127"/>
        <v>6.60557875825126</v>
      </c>
      <c r="AA199" s="130">
        <f t="shared" si="128"/>
        <v>21.755269405322924</v>
      </c>
      <c r="AB199" s="130">
        <f t="shared" si="129"/>
        <v>0.021570248453116392</v>
      </c>
      <c r="AC199" s="130">
        <f t="shared" si="130"/>
        <v>0.6572550864460004</v>
      </c>
      <c r="AD199" s="130">
        <f t="shared" si="131"/>
        <v>41.75162987058616</v>
      </c>
      <c r="AE199" s="130">
        <f t="shared" si="132"/>
        <v>-12.341704055322724</v>
      </c>
      <c r="AF199" s="130">
        <f t="shared" si="133"/>
        <v>0.09159834435946058</v>
      </c>
      <c r="AG199" s="130">
        <f t="shared" si="134"/>
        <v>0.03281868622691684</v>
      </c>
      <c r="AH199" s="130">
        <f t="shared" si="135"/>
        <v>122.64640449427871</v>
      </c>
      <c r="AI199" s="130">
        <f t="shared" si="136"/>
        <v>33.10019177327481</v>
      </c>
      <c r="AJ199" s="130">
        <f t="shared" si="137"/>
        <v>13.175906470369913</v>
      </c>
      <c r="AK199" s="130">
        <f t="shared" si="146"/>
        <v>387.58802727593314</v>
      </c>
      <c r="AL199" s="130">
        <f t="shared" si="138"/>
        <v>3451.552448803536</v>
      </c>
      <c r="AM199" s="130">
        <f t="shared" si="139"/>
        <v>2609.8135971284405</v>
      </c>
      <c r="AN199" s="130">
        <f t="shared" si="140"/>
        <v>2540.867026689513</v>
      </c>
      <c r="AO199" s="130">
        <f t="shared" si="141"/>
        <v>2512.0714417141858</v>
      </c>
      <c r="AP199" s="130">
        <f t="shared" si="142"/>
        <v>3295.7730923142367</v>
      </c>
      <c r="AQ199" s="130">
        <f t="shared" si="143"/>
        <v>3041.511568419338</v>
      </c>
      <c r="AR199" s="130">
        <f t="shared" si="147"/>
        <v>300.23671569824216</v>
      </c>
      <c r="AS199" s="130">
        <f t="shared" si="148"/>
        <v>144.10794032136053</v>
      </c>
      <c r="AT199" s="130">
        <f t="shared" si="149"/>
        <v>-32.20954705531646</v>
      </c>
      <c r="AU199" s="130">
        <f t="shared" si="150"/>
        <v>26.154429478199134</v>
      </c>
      <c r="AV199" s="130">
        <f t="shared" si="151"/>
        <v>308.0965301590039</v>
      </c>
      <c r="AW199" s="130">
        <f t="shared" si="152"/>
        <v>29.321913399999165</v>
      </c>
      <c r="AX199" s="130">
        <f t="shared" si="153"/>
        <v>1556.0569482744338</v>
      </c>
      <c r="AY199" s="130">
        <f t="shared" si="154"/>
        <v>619.406103549736</v>
      </c>
      <c r="AZ199" s="130">
        <f t="shared" si="155"/>
        <v>2650.934318127416</v>
      </c>
      <c r="BA199" s="130">
        <f t="shared" si="156"/>
        <v>544.0066598062183</v>
      </c>
      <c r="BB199" s="130">
        <f t="shared" si="157"/>
        <v>11.314485132711567</v>
      </c>
      <c r="BC199" s="130">
        <f t="shared" si="158"/>
        <v>532.6921746735068</v>
      </c>
      <c r="BD199" s="129">
        <f t="shared" si="159"/>
        <v>3537.067838941988</v>
      </c>
      <c r="BE199" s="129">
        <f t="shared" si="163"/>
        <v>23.389473732271114</v>
      </c>
      <c r="BF199" s="130">
        <f t="shared" si="160"/>
        <v>0.5263212492684988</v>
      </c>
      <c r="BG199" s="137">
        <f t="shared" si="161"/>
        <v>0.10775723111024432</v>
      </c>
      <c r="BH199" s="47"/>
      <c r="BI199" s="47"/>
      <c r="BJ199" s="47"/>
    </row>
    <row r="200" spans="1:62" ht="16.5" thickBot="1">
      <c r="A200" s="108">
        <f>IF(Data!A200&gt;0,Data!A200,"")</f>
        <v>180</v>
      </c>
      <c r="B200" s="109">
        <f>IF(A200&gt;0,IF(Data!$F$5="lb",Data!B200/2.204,Data!B200),"")</f>
        <v>12.139316911922391</v>
      </c>
      <c r="C200" s="109">
        <f>IF(A200&gt;0,Data!C200,"")</f>
        <v>0.06021567061543465</v>
      </c>
      <c r="D200" s="110">
        <f>IF(A200&gt;0,Data!D200,"")</f>
        <v>27.441442489624023</v>
      </c>
      <c r="E200" s="143">
        <f t="shared" si="111"/>
        <v>-0.27996035805986264</v>
      </c>
      <c r="F200" s="144">
        <f t="shared" si="112"/>
        <v>19.359926016190492</v>
      </c>
      <c r="G200" s="145">
        <f t="shared" si="113"/>
        <v>-8.111624308741249</v>
      </c>
      <c r="H200" s="111">
        <f>IF(A200&gt;0,IF(Data!$F$4="F",(Data!F200-32)/1.8,Data!F200),"")</f>
        <v>114.6771494547526</v>
      </c>
      <c r="I200" s="123">
        <f>IF(A200&gt;0,IF(Data!$F$4="F",(Data!G200-32)/1.8,Data!G200),"")</f>
        <v>26.886817084418404</v>
      </c>
      <c r="J200" s="136">
        <f t="shared" si="114"/>
        <v>0.9972271811524448</v>
      </c>
      <c r="K200" s="128">
        <f t="shared" si="115"/>
        <v>0.8689672649623889</v>
      </c>
      <c r="L200" s="128">
        <f t="shared" si="116"/>
        <v>0.8665577761521928</v>
      </c>
      <c r="M200" s="155">
        <f t="shared" si="117"/>
        <v>4.475131813945279</v>
      </c>
      <c r="N200" s="130">
        <f t="shared" si="118"/>
        <v>12.139316911922391</v>
      </c>
      <c r="O200" s="130">
        <f t="shared" si="119"/>
        <v>89.63143137735352</v>
      </c>
      <c r="P200" s="130">
        <f t="shared" si="162"/>
        <v>11.407056868259444</v>
      </c>
      <c r="Q200" s="130">
        <f t="shared" si="120"/>
        <v>87.94615549303983</v>
      </c>
      <c r="R200" s="129">
        <f t="shared" si="144"/>
        <v>3796.661762238276</v>
      </c>
      <c r="S200" s="130">
        <f t="shared" si="121"/>
        <v>4.166666666666667</v>
      </c>
      <c r="T200" s="130">
        <f t="shared" si="122"/>
        <v>6.6</v>
      </c>
      <c r="U200" s="134">
        <f t="shared" si="145"/>
        <v>2.68125</v>
      </c>
      <c r="V200" s="130">
        <f t="shared" si="123"/>
        <v>19887</v>
      </c>
      <c r="W200" s="130">
        <f t="shared" si="124"/>
        <v>19.17</v>
      </c>
      <c r="X200" s="130">
        <f t="shared" si="125"/>
        <v>80.6099661485018</v>
      </c>
      <c r="Y200" s="130">
        <f t="shared" si="126"/>
        <v>21.38195388554424</v>
      </c>
      <c r="Z200" s="130">
        <f t="shared" si="127"/>
        <v>6.605575230691407</v>
      </c>
      <c r="AA200" s="130">
        <f t="shared" si="128"/>
        <v>21.75525432599883</v>
      </c>
      <c r="AB200" s="130">
        <f t="shared" si="129"/>
        <v>0.021571967641406786</v>
      </c>
      <c r="AC200" s="130">
        <f t="shared" si="130"/>
        <v>0.6572547354537951</v>
      </c>
      <c r="AD200" s="130">
        <f t="shared" si="131"/>
        <v>41.75160863721636</v>
      </c>
      <c r="AE200" s="130">
        <f t="shared" si="132"/>
        <v>-12.341674956728394</v>
      </c>
      <c r="AF200" s="130">
        <f t="shared" si="133"/>
        <v>0.09161694449239582</v>
      </c>
      <c r="AG200" s="130">
        <f t="shared" si="134"/>
        <v>0.03282131946377326</v>
      </c>
      <c r="AH200" s="130">
        <f t="shared" si="135"/>
        <v>122.64645928012285</v>
      </c>
      <c r="AI200" s="130">
        <f t="shared" si="136"/>
        <v>33.100186506801094</v>
      </c>
      <c r="AJ200" s="130">
        <f t="shared" si="137"/>
        <v>13.175906470369913</v>
      </c>
      <c r="AK200" s="130">
        <f t="shared" si="146"/>
        <v>387.82714945475254</v>
      </c>
      <c r="AL200" s="130">
        <f t="shared" si="138"/>
        <v>3468.9496088163996</v>
      </c>
      <c r="AM200" s="130">
        <f t="shared" si="139"/>
        <v>2622.945809658516</v>
      </c>
      <c r="AN200" s="130">
        <f t="shared" si="140"/>
        <v>2553.6468653375573</v>
      </c>
      <c r="AO200" s="130">
        <f t="shared" si="141"/>
        <v>2524.7075890614733</v>
      </c>
      <c r="AP200" s="130">
        <f t="shared" si="142"/>
        <v>3312.4338041578494</v>
      </c>
      <c r="AQ200" s="130">
        <f t="shared" si="143"/>
        <v>3056.8077791637534</v>
      </c>
      <c r="AR200" s="130">
        <f t="shared" si="147"/>
        <v>300.0368170844184</v>
      </c>
      <c r="AS200" s="130">
        <f t="shared" si="148"/>
        <v>144.8342264495271</v>
      </c>
      <c r="AT200" s="130">
        <f t="shared" si="149"/>
        <v>-32.37154461191818</v>
      </c>
      <c r="AU200" s="130">
        <f t="shared" si="150"/>
        <v>26.160911295851385</v>
      </c>
      <c r="AV200" s="130">
        <f t="shared" si="151"/>
        <v>309.6464465160451</v>
      </c>
      <c r="AW200" s="130">
        <f t="shared" si="152"/>
        <v>29.32481289668341</v>
      </c>
      <c r="AX200" s="130">
        <f t="shared" si="153"/>
        <v>1556.5630081232982</v>
      </c>
      <c r="AY200" s="130">
        <f t="shared" si="154"/>
        <v>619.6076449918555</v>
      </c>
      <c r="AZ200" s="130">
        <f t="shared" si="155"/>
        <v>2653.7655056613426</v>
      </c>
      <c r="BA200" s="130">
        <f t="shared" si="156"/>
        <v>506.6349887510103</v>
      </c>
      <c r="BB200" s="130">
        <f t="shared" si="157"/>
        <v>10.52742370081558</v>
      </c>
      <c r="BC200" s="130">
        <f t="shared" si="158"/>
        <v>496.10756505019475</v>
      </c>
      <c r="BD200" s="129">
        <f t="shared" si="159"/>
        <v>3290.0267734872655</v>
      </c>
      <c r="BE200" s="129">
        <f t="shared" si="163"/>
        <v>-0.7605404820885572</v>
      </c>
      <c r="BF200" s="130">
        <f t="shared" si="160"/>
        <v>0.48974100658554853</v>
      </c>
      <c r="BG200" s="137">
        <f t="shared" si="161"/>
        <v>0.10025560303258595</v>
      </c>
      <c r="BH200" s="47"/>
      <c r="BI200" s="47"/>
      <c r="BJ200" s="47"/>
    </row>
    <row r="201" spans="1:62" ht="16.5" thickBot="1">
      <c r="A201" s="108">
        <f>IF(Data!A201&gt;0,Data!A201,"")</f>
        <v>181</v>
      </c>
      <c r="B201" s="109">
        <f>IF(A201&gt;0,IF(Data!$F$5="lb",Data!B201/2.204,Data!B201),"")</f>
        <v>11.714795972820633</v>
      </c>
      <c r="C201" s="109">
        <f>IF(A201&gt;0,Data!C201,"")</f>
        <v>0.060227859765291214</v>
      </c>
      <c r="D201" s="110">
        <f>IF(A201&gt;0,Data!D201,"")</f>
        <v>27.441442489624023</v>
      </c>
      <c r="E201" s="143">
        <f t="shared" si="111"/>
        <v>-0.2799606771921549</v>
      </c>
      <c r="F201" s="144">
        <f t="shared" si="112"/>
        <v>19.359925315877863</v>
      </c>
      <c r="G201" s="145">
        <f t="shared" si="113"/>
        <v>-8.111631103628806</v>
      </c>
      <c r="H201" s="111">
        <f>IF(A201&gt;0,IF(Data!$F$4="F",(Data!F201-32)/1.8,Data!F201),"")</f>
        <v>115.01725938585069</v>
      </c>
      <c r="I201" s="123">
        <f>IF(A201&gt;0,IF(Data!$F$4="F",(Data!G201-32)/1.8,Data!G201),"")</f>
        <v>27.05468495686849</v>
      </c>
      <c r="J201" s="136">
        <f t="shared" si="114"/>
        <v>0.9972267983342978</v>
      </c>
      <c r="K201" s="128">
        <f t="shared" si="115"/>
        <v>0.8689090547275886</v>
      </c>
      <c r="L201" s="128">
        <f t="shared" si="116"/>
        <v>0.8664993946896744</v>
      </c>
      <c r="M201" s="155">
        <f t="shared" si="117"/>
        <v>4.475129245323563</v>
      </c>
      <c r="N201" s="130">
        <f t="shared" si="118"/>
        <v>11.714795972820633</v>
      </c>
      <c r="O201" s="130">
        <f t="shared" si="119"/>
        <v>89.99402793206609</v>
      </c>
      <c r="P201" s="130">
        <f t="shared" si="162"/>
        <v>11.011441252313503</v>
      </c>
      <c r="Q201" s="130">
        <f t="shared" si="120"/>
        <v>88.36420277501726</v>
      </c>
      <c r="R201" s="129">
        <f t="shared" si="144"/>
        <v>4042.323714980802</v>
      </c>
      <c r="S201" s="130">
        <f t="shared" si="121"/>
        <v>4.166666666666667</v>
      </c>
      <c r="T201" s="130">
        <f t="shared" si="122"/>
        <v>6.6</v>
      </c>
      <c r="U201" s="134">
        <f t="shared" si="145"/>
        <v>2.68125</v>
      </c>
      <c r="V201" s="130">
        <f t="shared" si="123"/>
        <v>19887</v>
      </c>
      <c r="W201" s="130">
        <f t="shared" si="124"/>
        <v>19.17</v>
      </c>
      <c r="X201" s="130">
        <f t="shared" si="125"/>
        <v>80.6099607542395</v>
      </c>
      <c r="Y201" s="130">
        <f t="shared" si="126"/>
        <v>21.381952454705438</v>
      </c>
      <c r="Z201" s="130">
        <f t="shared" si="127"/>
        <v>6.605578580107823</v>
      </c>
      <c r="AA201" s="130">
        <f t="shared" si="128"/>
        <v>21.755261845569247</v>
      </c>
      <c r="AB201" s="130">
        <f t="shared" si="129"/>
        <v>0.02157373439328225</v>
      </c>
      <c r="AC201" s="130">
        <f t="shared" si="130"/>
        <v>0.6572550687207284</v>
      </c>
      <c r="AD201" s="130">
        <f t="shared" si="131"/>
        <v>41.75158746669789</v>
      </c>
      <c r="AE201" s="130">
        <f t="shared" si="132"/>
        <v>-12.341679037055075</v>
      </c>
      <c r="AF201" s="130">
        <f t="shared" si="133"/>
        <v>0.09163544357674995</v>
      </c>
      <c r="AG201" s="130">
        <f t="shared" si="134"/>
        <v>0.032823990897891515</v>
      </c>
      <c r="AH201" s="130">
        <f t="shared" si="135"/>
        <v>122.646388883904</v>
      </c>
      <c r="AI201" s="130">
        <f t="shared" si="136"/>
        <v>33.10018116393285</v>
      </c>
      <c r="AJ201" s="130">
        <f t="shared" si="137"/>
        <v>13.175906470369913</v>
      </c>
      <c r="AK201" s="130">
        <f t="shared" si="146"/>
        <v>388.1672593858507</v>
      </c>
      <c r="AL201" s="130">
        <f t="shared" si="138"/>
        <v>3476.4034902736453</v>
      </c>
      <c r="AM201" s="130">
        <f t="shared" si="139"/>
        <v>2628.2930261078154</v>
      </c>
      <c r="AN201" s="130">
        <f t="shared" si="140"/>
        <v>2558.78215812941</v>
      </c>
      <c r="AO201" s="130">
        <f t="shared" si="141"/>
        <v>2529.799508752197</v>
      </c>
      <c r="AP201" s="130">
        <f t="shared" si="142"/>
        <v>3320.1838271716815</v>
      </c>
      <c r="AQ201" s="130">
        <f t="shared" si="143"/>
        <v>3062.932493070776</v>
      </c>
      <c r="AR201" s="130">
        <f t="shared" si="147"/>
        <v>300.20468495686845</v>
      </c>
      <c r="AS201" s="130">
        <f t="shared" si="148"/>
        <v>145.14536439369394</v>
      </c>
      <c r="AT201" s="130">
        <f t="shared" si="149"/>
        <v>-32.437548943552876</v>
      </c>
      <c r="AU201" s="130">
        <f t="shared" si="150"/>
        <v>26.16666422219166</v>
      </c>
      <c r="AV201" s="130">
        <f t="shared" si="151"/>
        <v>310.27077434873127</v>
      </c>
      <c r="AW201" s="130">
        <f t="shared" si="152"/>
        <v>29.32745412542593</v>
      </c>
      <c r="AX201" s="130">
        <f t="shared" si="153"/>
        <v>1556.7654860105026</v>
      </c>
      <c r="AY201" s="130">
        <f t="shared" si="154"/>
        <v>619.6883436494522</v>
      </c>
      <c r="AZ201" s="130">
        <f t="shared" si="155"/>
        <v>2654.9265378064447</v>
      </c>
      <c r="BA201" s="130">
        <f t="shared" si="156"/>
        <v>539.652662810221</v>
      </c>
      <c r="BB201" s="130">
        <f t="shared" si="157"/>
        <v>11.210145221985186</v>
      </c>
      <c r="BC201" s="130">
        <f t="shared" si="158"/>
        <v>528.4425175882359</v>
      </c>
      <c r="BD201" s="129">
        <f t="shared" si="159"/>
        <v>3502.671052170581</v>
      </c>
      <c r="BE201" s="129">
        <f t="shared" si="163"/>
        <v>21.81846292936287</v>
      </c>
      <c r="BF201" s="130">
        <f t="shared" si="160"/>
        <v>0.5215348492827617</v>
      </c>
      <c r="BG201" s="137">
        <f t="shared" si="161"/>
        <v>0.10675130231959438</v>
      </c>
      <c r="BH201" s="47"/>
      <c r="BI201" s="47"/>
      <c r="BJ201" s="47"/>
    </row>
    <row r="202" spans="1:62" ht="16.5" thickBot="1">
      <c r="A202" s="108">
        <f>IF(Data!A202&gt;0,Data!A202,"")</f>
        <v>182</v>
      </c>
      <c r="B202" s="109">
        <f>IF(A202&gt;0,IF(Data!$F$5="lb",Data!B202/2.204,Data!B202),"")</f>
        <v>11.703088798453717</v>
      </c>
      <c r="C202" s="109">
        <f>IF(A202&gt;0,Data!C202,"")</f>
        <v>0.06834764778614044</v>
      </c>
      <c r="D202" s="110">
        <f>IF(A202&gt;0,Data!D202,"")</f>
        <v>27.44131851196289</v>
      </c>
      <c r="E202" s="143">
        <f t="shared" si="111"/>
        <v>-0.28016995991638993</v>
      </c>
      <c r="F202" s="144">
        <f t="shared" si="112"/>
        <v>19.359465926416497</v>
      </c>
      <c r="G202" s="145">
        <f t="shared" si="113"/>
        <v>-8.116026409439463</v>
      </c>
      <c r="H202" s="111">
        <f>IF(A202&gt;0,IF(Data!$F$4="F",(Data!F202-32)/1.8,Data!F202),"")</f>
        <v>115.19596523708768</v>
      </c>
      <c r="I202" s="123">
        <f>IF(A202&gt;0,IF(Data!$F$4="F",(Data!G202-32)/1.8,Data!G202),"")</f>
        <v>27.262628343370224</v>
      </c>
      <c r="J202" s="136">
        <f t="shared" si="114"/>
        <v>0.9969718712407022</v>
      </c>
      <c r="K202" s="128">
        <f t="shared" si="115"/>
        <v>0.8688984593437009</v>
      </c>
      <c r="L202" s="128">
        <f t="shared" si="116"/>
        <v>0.8662673229300526</v>
      </c>
      <c r="M202" s="155">
        <f t="shared" si="117"/>
        <v>4.473438521821499</v>
      </c>
      <c r="N202" s="130">
        <f t="shared" si="118"/>
        <v>11.703088798453717</v>
      </c>
      <c r="O202" s="130">
        <f t="shared" si="119"/>
        <v>90.00402739428306</v>
      </c>
      <c r="P202" s="130">
        <f t="shared" si="162"/>
        <v>11.00052760643204</v>
      </c>
      <c r="Q202" s="130">
        <f t="shared" si="120"/>
        <v>88.37573523180941</v>
      </c>
      <c r="R202" s="129">
        <f t="shared" si="144"/>
        <v>4290.823073110552</v>
      </c>
      <c r="S202" s="130">
        <f t="shared" si="121"/>
        <v>4.166666666666667</v>
      </c>
      <c r="T202" s="130">
        <f t="shared" si="122"/>
        <v>6.6</v>
      </c>
      <c r="U202" s="134">
        <f t="shared" si="145"/>
        <v>2.68125</v>
      </c>
      <c r="V202" s="130">
        <f t="shared" si="123"/>
        <v>19887</v>
      </c>
      <c r="W202" s="130">
        <f t="shared" si="124"/>
        <v>19.17</v>
      </c>
      <c r="X202" s="130">
        <f t="shared" si="125"/>
        <v>80.60636024969043</v>
      </c>
      <c r="Y202" s="130">
        <f t="shared" si="126"/>
        <v>21.38099741371099</v>
      </c>
      <c r="Z202" s="130">
        <f t="shared" si="127"/>
        <v>6.607779985297423</v>
      </c>
      <c r="AA202" s="130">
        <f t="shared" si="128"/>
        <v>21.760173060167695</v>
      </c>
      <c r="AB202" s="130">
        <f t="shared" si="129"/>
        <v>0.022750445656900098</v>
      </c>
      <c r="AC202" s="130">
        <f t="shared" si="130"/>
        <v>0.6574741085370935</v>
      </c>
      <c r="AD202" s="130">
        <f t="shared" si="131"/>
        <v>41.73748921158421</v>
      </c>
      <c r="AE202" s="130">
        <f t="shared" si="132"/>
        <v>-12.344252502198072</v>
      </c>
      <c r="AF202" s="130">
        <f t="shared" si="133"/>
        <v>0.1039548887152632</v>
      </c>
      <c r="AG202" s="130">
        <f t="shared" si="134"/>
        <v>0.03460280087305759</v>
      </c>
      <c r="AH202" s="130">
        <f t="shared" si="135"/>
        <v>122.60005253901608</v>
      </c>
      <c r="AI202" s="130">
        <f t="shared" si="136"/>
        <v>33.09662354398253</v>
      </c>
      <c r="AJ202" s="130">
        <f t="shared" si="137"/>
        <v>13.175906470369913</v>
      </c>
      <c r="AK202" s="130">
        <f t="shared" si="146"/>
        <v>388.3459652370876</v>
      </c>
      <c r="AL202" s="130">
        <f t="shared" si="138"/>
        <v>3475.7409728328366</v>
      </c>
      <c r="AM202" s="130">
        <f t="shared" si="139"/>
        <v>2627.57241520243</v>
      </c>
      <c r="AN202" s="130">
        <f t="shared" si="140"/>
        <v>2558.026852760862</v>
      </c>
      <c r="AO202" s="130">
        <f t="shared" si="141"/>
        <v>2529.0640366201555</v>
      </c>
      <c r="AP202" s="130">
        <f t="shared" si="142"/>
        <v>3320.03222630095</v>
      </c>
      <c r="AQ202" s="130">
        <f t="shared" si="143"/>
        <v>3062.0113151167575</v>
      </c>
      <c r="AR202" s="130">
        <f t="shared" si="147"/>
        <v>300.4126283433702</v>
      </c>
      <c r="AS202" s="130">
        <f t="shared" si="148"/>
        <v>145.06870135587172</v>
      </c>
      <c r="AT202" s="130">
        <f t="shared" si="149"/>
        <v>-32.43541736106923</v>
      </c>
      <c r="AU202" s="130">
        <f t="shared" si="150"/>
        <v>29.684425219007892</v>
      </c>
      <c r="AV202" s="130">
        <f t="shared" si="151"/>
        <v>310.06338376416716</v>
      </c>
      <c r="AW202" s="130">
        <f t="shared" si="152"/>
        <v>30.916773227976275</v>
      </c>
      <c r="AX202" s="130">
        <f t="shared" si="153"/>
        <v>1556.5676763892022</v>
      </c>
      <c r="AY202" s="130">
        <f t="shared" si="154"/>
        <v>619.6762062948876</v>
      </c>
      <c r="AZ202" s="130">
        <f t="shared" si="155"/>
        <v>2659.541748890044</v>
      </c>
      <c r="BA202" s="130">
        <f t="shared" si="156"/>
        <v>573.8232564005727</v>
      </c>
      <c r="BB202" s="130">
        <f t="shared" si="157"/>
        <v>12.993127425529956</v>
      </c>
      <c r="BC202" s="130">
        <f t="shared" si="158"/>
        <v>560.8301289750428</v>
      </c>
      <c r="BD202" s="129">
        <f t="shared" si="159"/>
        <v>3716.9998167099793</v>
      </c>
      <c r="BE202" s="129">
        <f t="shared" si="163"/>
        <v>0.6572240837282205</v>
      </c>
      <c r="BF202" s="130">
        <f t="shared" si="160"/>
        <v>0.6280211686900262</v>
      </c>
      <c r="BG202" s="137">
        <f t="shared" si="161"/>
        <v>0.11945451511469037</v>
      </c>
      <c r="BH202" s="47"/>
      <c r="BI202" s="47"/>
      <c r="BJ202" s="47"/>
    </row>
    <row r="203" spans="1:62" ht="16.5" thickBot="1">
      <c r="A203" s="108">
        <f>IF(Data!A203&gt;0,Data!A203,"")</f>
        <v>183</v>
      </c>
      <c r="B203" s="109">
        <f>IF(A203&gt;0,IF(Data!$F$5="lb",Data!B203/2.204,Data!B203),"")</f>
        <v>11.25205709800097</v>
      </c>
      <c r="C203" s="109">
        <f>IF(A203&gt;0,Data!C203,"")</f>
        <v>0.07096890360116959</v>
      </c>
      <c r="D203" s="110">
        <f>IF(A203&gt;0,Data!D203,"")</f>
        <v>27.44150161743164</v>
      </c>
      <c r="E203" s="143">
        <f t="shared" si="111"/>
        <v>-0.2802433325891118</v>
      </c>
      <c r="F203" s="144">
        <f t="shared" si="112"/>
        <v>19.359304805284097</v>
      </c>
      <c r="G203" s="145">
        <f t="shared" si="113"/>
        <v>-8.117681263948128</v>
      </c>
      <c r="H203" s="111">
        <f>IF(A203&gt;0,IF(Data!$F$4="F",(Data!F203-32)/1.8,Data!F203),"")</f>
        <v>115.40156046549478</v>
      </c>
      <c r="I203" s="123">
        <f>IF(A203&gt;0,IF(Data!$F$4="F",(Data!G203-32)/1.8,Data!G203),"")</f>
        <v>27.029143439398872</v>
      </c>
      <c r="J203" s="136">
        <f t="shared" si="114"/>
        <v>0.9968896108384487</v>
      </c>
      <c r="K203" s="128">
        <f t="shared" si="115"/>
        <v>0.8687506289909015</v>
      </c>
      <c r="L203" s="128">
        <f t="shared" si="116"/>
        <v>0.8660484764503973</v>
      </c>
      <c r="M203" s="155">
        <f t="shared" si="117"/>
        <v>4.472857362973549</v>
      </c>
      <c r="N203" s="130">
        <f t="shared" si="118"/>
        <v>11.25205709800097</v>
      </c>
      <c r="O203" s="130">
        <f t="shared" si="119"/>
        <v>90.38926761587578</v>
      </c>
      <c r="P203" s="130">
        <f t="shared" si="162"/>
        <v>10.57992085475625</v>
      </c>
      <c r="Q203" s="130">
        <f t="shared" si="120"/>
        <v>88.82019066337521</v>
      </c>
      <c r="R203" s="129">
        <f t="shared" si="144"/>
        <v>8185.285335665917</v>
      </c>
      <c r="S203" s="130">
        <f t="shared" si="121"/>
        <v>4.166666666666667</v>
      </c>
      <c r="T203" s="130">
        <f t="shared" si="122"/>
        <v>6.6</v>
      </c>
      <c r="U203" s="134">
        <f t="shared" si="145"/>
        <v>2.68125</v>
      </c>
      <c r="V203" s="130">
        <f t="shared" si="123"/>
        <v>19887</v>
      </c>
      <c r="W203" s="130">
        <f t="shared" si="124"/>
        <v>19.17</v>
      </c>
      <c r="X203" s="130">
        <f t="shared" si="125"/>
        <v>80.60521074291532</v>
      </c>
      <c r="Y203" s="130">
        <f t="shared" si="126"/>
        <v>21.380692504752073</v>
      </c>
      <c r="Z203" s="130">
        <f t="shared" si="127"/>
        <v>6.608544290764851</v>
      </c>
      <c r="AA203" s="130">
        <f t="shared" si="128"/>
        <v>21.7619347785492</v>
      </c>
      <c r="AB203" s="130">
        <f t="shared" si="129"/>
        <v>0.02313069048740246</v>
      </c>
      <c r="AC203" s="130">
        <f t="shared" si="130"/>
        <v>0.6575501569311026</v>
      </c>
      <c r="AD203" s="130">
        <f t="shared" si="131"/>
        <v>41.73294056457343</v>
      </c>
      <c r="AE203" s="130">
        <f t="shared" si="132"/>
        <v>-12.345341535366236</v>
      </c>
      <c r="AF203" s="130">
        <f t="shared" si="133"/>
        <v>0.10792926266247645</v>
      </c>
      <c r="AG203" s="130">
        <f t="shared" si="134"/>
        <v>0.03517707393662149</v>
      </c>
      <c r="AH203" s="130">
        <f t="shared" si="135"/>
        <v>122.58412517018233</v>
      </c>
      <c r="AI203" s="130">
        <f t="shared" si="136"/>
        <v>33.0954749978554</v>
      </c>
      <c r="AJ203" s="130">
        <f t="shared" si="137"/>
        <v>13.175906470369913</v>
      </c>
      <c r="AK203" s="130">
        <f t="shared" si="146"/>
        <v>388.55156046549473</v>
      </c>
      <c r="AL203" s="130">
        <f t="shared" si="138"/>
        <v>3493.0607552211895</v>
      </c>
      <c r="AM203" s="130">
        <f t="shared" si="139"/>
        <v>2640.681659221619</v>
      </c>
      <c r="AN203" s="130">
        <f t="shared" si="140"/>
        <v>2570.7930228184637</v>
      </c>
      <c r="AO203" s="130">
        <f t="shared" si="141"/>
        <v>2541.6848463877245</v>
      </c>
      <c r="AP203" s="130">
        <f t="shared" si="142"/>
        <v>3336.541230445492</v>
      </c>
      <c r="AQ203" s="130">
        <f t="shared" si="143"/>
        <v>3077.2939224653405</v>
      </c>
      <c r="AR203" s="130">
        <f t="shared" si="147"/>
        <v>300.17914343939884</v>
      </c>
      <c r="AS203" s="130">
        <f t="shared" si="148"/>
        <v>145.7756968860899</v>
      </c>
      <c r="AT203" s="130">
        <f t="shared" si="149"/>
        <v>-32.600116969268484</v>
      </c>
      <c r="AU203" s="130">
        <f t="shared" si="150"/>
        <v>30.820689624052832</v>
      </c>
      <c r="AV203" s="130">
        <f t="shared" si="151"/>
        <v>311.57021335274845</v>
      </c>
      <c r="AW203" s="130">
        <f t="shared" si="152"/>
        <v>31.43045318468321</v>
      </c>
      <c r="AX203" s="130">
        <f t="shared" si="153"/>
        <v>1557.019444252708</v>
      </c>
      <c r="AY203" s="130">
        <f t="shared" si="154"/>
        <v>619.8775684999358</v>
      </c>
      <c r="AZ203" s="130">
        <f t="shared" si="155"/>
        <v>2663.8939488309497</v>
      </c>
      <c r="BA203" s="130">
        <f t="shared" si="156"/>
        <v>1096.431441400671</v>
      </c>
      <c r="BB203" s="130">
        <f t="shared" si="157"/>
        <v>25.45935059704621</v>
      </c>
      <c r="BC203" s="130">
        <f t="shared" si="158"/>
        <v>1070.9720908036247</v>
      </c>
      <c r="BD203" s="129">
        <f t="shared" si="159"/>
        <v>7088.853894265246</v>
      </c>
      <c r="BE203" s="129">
        <f t="shared" si="163"/>
        <v>26.01718130672236</v>
      </c>
      <c r="BF203" s="130">
        <f t="shared" si="160"/>
        <v>1.2438321872022575</v>
      </c>
      <c r="BG203" s="137">
        <f t="shared" si="161"/>
        <v>0.23165636843772405</v>
      </c>
      <c r="BH203" s="47"/>
      <c r="BI203" s="47"/>
      <c r="BJ203" s="47"/>
    </row>
    <row r="204" spans="1:62" ht="16.5" thickBot="1">
      <c r="A204" s="108">
        <f>IF(Data!A204&gt;0,Data!A204,"")</f>
        <v>184</v>
      </c>
      <c r="B204" s="109">
        <f>IF(A204&gt;0,IF(Data!$F$5="lb",Data!B204/2.204,Data!B204),"")</f>
        <v>10.820649280305782</v>
      </c>
      <c r="C204" s="109">
        <f>IF(A204&gt;0,Data!C204,"")</f>
        <v>0.07090794295072556</v>
      </c>
      <c r="D204" s="110">
        <f>IF(A204&gt;0,Data!D204,"")</f>
        <v>27.441410064697266</v>
      </c>
      <c r="E204" s="143">
        <f t="shared" si="111"/>
        <v>-0.280239342648113</v>
      </c>
      <c r="F204" s="144">
        <f t="shared" si="112"/>
        <v>19.359313567753258</v>
      </c>
      <c r="G204" s="145">
        <f t="shared" si="113"/>
        <v>-8.11755046841937</v>
      </c>
      <c r="H204" s="111">
        <f>IF(A204&gt;0,IF(Data!$F$4="F",(Data!F204-32)/1.8,Data!F204),"")</f>
        <v>115.82558525933159</v>
      </c>
      <c r="I204" s="123">
        <f>IF(A204&gt;0,IF(Data!$F$4="F",(Data!G204-32)/1.8,Data!G204),"")</f>
        <v>26.75233205159505</v>
      </c>
      <c r="J204" s="136">
        <f t="shared" si="114"/>
        <v>0.9968915238128623</v>
      </c>
      <c r="K204" s="128">
        <f t="shared" si="115"/>
        <v>0.8685229710716674</v>
      </c>
      <c r="L204" s="128">
        <f t="shared" si="116"/>
        <v>0.8658231880981091</v>
      </c>
      <c r="M204" s="155">
        <f t="shared" si="117"/>
        <v>4.472884802713156</v>
      </c>
      <c r="N204" s="130">
        <f t="shared" si="118"/>
        <v>10.820649280305782</v>
      </c>
      <c r="O204" s="130">
        <f t="shared" si="119"/>
        <v>90.75774646806931</v>
      </c>
      <c r="P204" s="130">
        <f t="shared" si="162"/>
        <v>10.177348108703283</v>
      </c>
      <c r="Q204" s="130">
        <f t="shared" si="120"/>
        <v>89.24558954931963</v>
      </c>
      <c r="R204" s="129">
        <f t="shared" si="144"/>
        <v>8817.61910097096</v>
      </c>
      <c r="S204" s="130">
        <f t="shared" si="121"/>
        <v>4.166666666666667</v>
      </c>
      <c r="T204" s="130">
        <f t="shared" si="122"/>
        <v>6.6</v>
      </c>
      <c r="U204" s="134">
        <f t="shared" si="145"/>
        <v>2.68125</v>
      </c>
      <c r="V204" s="130">
        <f t="shared" si="123"/>
        <v>19887</v>
      </c>
      <c r="W204" s="130">
        <f t="shared" si="124"/>
        <v>19.17</v>
      </c>
      <c r="X204" s="130">
        <f t="shared" si="125"/>
        <v>80.60523246077138</v>
      </c>
      <c r="Y204" s="130">
        <f t="shared" si="126"/>
        <v>21.380698265456598</v>
      </c>
      <c r="Z204" s="130">
        <f t="shared" si="127"/>
        <v>6.608505529988352</v>
      </c>
      <c r="AA204" s="130">
        <f t="shared" si="128"/>
        <v>21.76182484768794</v>
      </c>
      <c r="AB204" s="130">
        <f t="shared" si="129"/>
        <v>0.023121700636810516</v>
      </c>
      <c r="AC204" s="130">
        <f t="shared" si="130"/>
        <v>0.6575463002338411</v>
      </c>
      <c r="AD204" s="130">
        <f t="shared" si="131"/>
        <v>41.733046106317325</v>
      </c>
      <c r="AE204" s="130">
        <f t="shared" si="132"/>
        <v>-12.345215029774408</v>
      </c>
      <c r="AF204" s="130">
        <f t="shared" si="133"/>
        <v>0.10783718640878794</v>
      </c>
      <c r="AG204" s="130">
        <f t="shared" si="134"/>
        <v>0.03516360844641331</v>
      </c>
      <c r="AH204" s="130">
        <f t="shared" si="135"/>
        <v>122.58487718979788</v>
      </c>
      <c r="AI204" s="130">
        <f t="shared" si="136"/>
        <v>33.095501928835816</v>
      </c>
      <c r="AJ204" s="130">
        <f t="shared" si="137"/>
        <v>13.175906470369913</v>
      </c>
      <c r="AK204" s="130">
        <f t="shared" si="146"/>
        <v>388.9755852593316</v>
      </c>
      <c r="AL204" s="130">
        <f t="shared" si="138"/>
        <v>3520.952558545427</v>
      </c>
      <c r="AM204" s="130">
        <f t="shared" si="139"/>
        <v>2661.6825546199457</v>
      </c>
      <c r="AN204" s="130">
        <f t="shared" si="140"/>
        <v>2591.217375670533</v>
      </c>
      <c r="AO204" s="130">
        <f t="shared" si="141"/>
        <v>2561.8822910985427</v>
      </c>
      <c r="AP204" s="130">
        <f t="shared" si="142"/>
        <v>3363.3687804200254</v>
      </c>
      <c r="AQ204" s="130">
        <f t="shared" si="143"/>
        <v>3101.735729052901</v>
      </c>
      <c r="AR204" s="130">
        <f t="shared" si="147"/>
        <v>299.902332051595</v>
      </c>
      <c r="AS204" s="130">
        <f t="shared" si="148"/>
        <v>146.94007546393226</v>
      </c>
      <c r="AT204" s="130">
        <f t="shared" si="149"/>
        <v>-32.85904347778249</v>
      </c>
      <c r="AU204" s="130">
        <f t="shared" si="150"/>
        <v>30.796598484548</v>
      </c>
      <c r="AV204" s="130">
        <f t="shared" si="151"/>
        <v>314.0480260290329</v>
      </c>
      <c r="AW204" s="130">
        <f t="shared" si="152"/>
        <v>31.41936522308107</v>
      </c>
      <c r="AX204" s="130">
        <f t="shared" si="153"/>
        <v>1557.8296251125912</v>
      </c>
      <c r="AY204" s="130">
        <f t="shared" si="154"/>
        <v>620.1996114575005</v>
      </c>
      <c r="AZ204" s="130">
        <f t="shared" si="155"/>
        <v>2668.3742582929035</v>
      </c>
      <c r="BA204" s="130">
        <f t="shared" si="156"/>
        <v>1183.1200195335005</v>
      </c>
      <c r="BB204" s="130">
        <f t="shared" si="157"/>
        <v>27.40928125541394</v>
      </c>
      <c r="BC204" s="130">
        <f t="shared" si="158"/>
        <v>1155.7107382780864</v>
      </c>
      <c r="BD204" s="129">
        <f t="shared" si="159"/>
        <v>7634.49908143746</v>
      </c>
      <c r="BE204" s="129">
        <f t="shared" si="163"/>
        <v>24.886349073124947</v>
      </c>
      <c r="BF204" s="130">
        <f t="shared" si="160"/>
        <v>1.3387782255165006</v>
      </c>
      <c r="BG204" s="137">
        <f t="shared" si="161"/>
        <v>0.24945687574488482</v>
      </c>
      <c r="BH204" s="47"/>
      <c r="BI204" s="47"/>
      <c r="BJ204" s="47"/>
    </row>
    <row r="205" spans="1:62" ht="16.5" thickBot="1">
      <c r="A205" s="108">
        <f>IF(Data!A205&gt;0,Data!A205,"")</f>
        <v>185</v>
      </c>
      <c r="B205" s="109">
        <f>IF(A205&gt;0,IF(Data!$F$5="lb",Data!B205/2.204,Data!B205),"")</f>
        <v>10.302134304427408</v>
      </c>
      <c r="C205" s="109">
        <f>IF(A205&gt;0,Data!C205,"")</f>
        <v>0.07092013210058212</v>
      </c>
      <c r="D205" s="110">
        <f>IF(A205&gt;0,Data!D205,"")</f>
        <v>27.44137954711914</v>
      </c>
      <c r="E205" s="143">
        <f t="shared" si="111"/>
        <v>-0.28023886315051616</v>
      </c>
      <c r="F205" s="144">
        <f t="shared" si="112"/>
        <v>19.359314620790588</v>
      </c>
      <c r="G205" s="145">
        <f t="shared" si="113"/>
        <v>-8.117524992378844</v>
      </c>
      <c r="H205" s="111">
        <f>IF(A205&gt;0,IF(Data!$F$4="F",(Data!F205-32)/1.8,Data!F205),"")</f>
        <v>115.80411275227864</v>
      </c>
      <c r="I205" s="123">
        <f>IF(A205&gt;0,IF(Data!$F$4="F",(Data!G205-32)/1.8,Data!G205),"")</f>
        <v>27.111778259277344</v>
      </c>
      <c r="J205" s="136">
        <f t="shared" si="114"/>
        <v>0.9968911413760589</v>
      </c>
      <c r="K205" s="128">
        <f t="shared" si="115"/>
        <v>0.8686447107462066</v>
      </c>
      <c r="L205" s="128">
        <f t="shared" si="116"/>
        <v>0.8659442171460625</v>
      </c>
      <c r="M205" s="155">
        <f t="shared" si="117"/>
        <v>4.472887104715096</v>
      </c>
      <c r="N205" s="130">
        <f t="shared" si="118"/>
        <v>10.302134304427408</v>
      </c>
      <c r="O205" s="130">
        <f t="shared" si="119"/>
        <v>91.20062625679816</v>
      </c>
      <c r="P205" s="130">
        <f t="shared" si="162"/>
        <v>9.693148681882416</v>
      </c>
      <c r="Q205" s="130">
        <f t="shared" si="120"/>
        <v>89.75724340260217</v>
      </c>
      <c r="R205" s="129">
        <f t="shared" si="144"/>
        <v>4817.836413793142</v>
      </c>
      <c r="S205" s="130">
        <f t="shared" si="121"/>
        <v>4.166666666666667</v>
      </c>
      <c r="T205" s="130">
        <f t="shared" si="122"/>
        <v>6.6</v>
      </c>
      <c r="U205" s="134">
        <f t="shared" si="145"/>
        <v>2.68125</v>
      </c>
      <c r="V205" s="130">
        <f t="shared" si="123"/>
        <v>19887</v>
      </c>
      <c r="W205" s="130">
        <f t="shared" si="124"/>
        <v>19.17</v>
      </c>
      <c r="X205" s="130">
        <f t="shared" si="125"/>
        <v>80.60522531315912</v>
      </c>
      <c r="Y205" s="130">
        <f t="shared" si="126"/>
        <v>21.380696369538228</v>
      </c>
      <c r="Z205" s="130">
        <f t="shared" si="127"/>
        <v>6.608501542871508</v>
      </c>
      <c r="AA205" s="130">
        <f t="shared" si="128"/>
        <v>21.761808259319512</v>
      </c>
      <c r="AB205" s="130">
        <f t="shared" si="129"/>
        <v>0.02312341607823143</v>
      </c>
      <c r="AC205" s="130">
        <f t="shared" si="130"/>
        <v>0.6575459035157151</v>
      </c>
      <c r="AD205" s="130">
        <f t="shared" si="131"/>
        <v>41.73302487384944</v>
      </c>
      <c r="AE205" s="130">
        <f t="shared" si="132"/>
        <v>-12.345183733906174</v>
      </c>
      <c r="AF205" s="130">
        <f t="shared" si="133"/>
        <v>0.10785578880712647</v>
      </c>
      <c r="AG205" s="130">
        <f t="shared" si="134"/>
        <v>0.035166238515968166</v>
      </c>
      <c r="AH205" s="130">
        <f t="shared" si="135"/>
        <v>122.58494027897581</v>
      </c>
      <c r="AI205" s="130">
        <f t="shared" si="136"/>
        <v>33.095496668696704</v>
      </c>
      <c r="AJ205" s="130">
        <f t="shared" si="137"/>
        <v>13.175906470369913</v>
      </c>
      <c r="AK205" s="130">
        <f t="shared" si="146"/>
        <v>388.9541127522786</v>
      </c>
      <c r="AL205" s="130">
        <f t="shared" si="138"/>
        <v>3506.329972903846</v>
      </c>
      <c r="AM205" s="130">
        <f t="shared" si="139"/>
        <v>2650.4348509372603</v>
      </c>
      <c r="AN205" s="130">
        <f t="shared" si="140"/>
        <v>2580.2200552606696</v>
      </c>
      <c r="AO205" s="130">
        <f t="shared" si="141"/>
        <v>2551.0194138754678</v>
      </c>
      <c r="AP205" s="130">
        <f t="shared" si="142"/>
        <v>3349.824768037914</v>
      </c>
      <c r="AQ205" s="130">
        <f t="shared" si="143"/>
        <v>3088.556693184473</v>
      </c>
      <c r="AR205" s="130">
        <f t="shared" si="147"/>
        <v>300.2617782592773</v>
      </c>
      <c r="AS205" s="130">
        <f t="shared" si="148"/>
        <v>146.32975597512004</v>
      </c>
      <c r="AT205" s="130">
        <f t="shared" si="149"/>
        <v>-32.7201052095687</v>
      </c>
      <c r="AU205" s="130">
        <f t="shared" si="150"/>
        <v>30.80072491125125</v>
      </c>
      <c r="AV205" s="130">
        <f t="shared" si="151"/>
        <v>312.7165625004321</v>
      </c>
      <c r="AW205" s="130">
        <f t="shared" si="152"/>
        <v>31.42123894919968</v>
      </c>
      <c r="AX205" s="130">
        <f t="shared" si="153"/>
        <v>1557.393210776293</v>
      </c>
      <c r="AY205" s="130">
        <f t="shared" si="154"/>
        <v>620.0259657135284</v>
      </c>
      <c r="AZ205" s="130">
        <f t="shared" si="155"/>
        <v>2665.967353616256</v>
      </c>
      <c r="BA205" s="130">
        <f t="shared" si="156"/>
        <v>645.8588321132465</v>
      </c>
      <c r="BB205" s="130">
        <f t="shared" si="157"/>
        <v>14.977929800994147</v>
      </c>
      <c r="BC205" s="130">
        <f t="shared" si="158"/>
        <v>630.8809023122524</v>
      </c>
      <c r="BD205" s="129">
        <f t="shared" si="159"/>
        <v>4171.977581679896</v>
      </c>
      <c r="BE205" s="129">
        <f t="shared" si="163"/>
        <v>29.936051520880067</v>
      </c>
      <c r="BF205" s="130">
        <f t="shared" si="160"/>
        <v>0.7316178060589323</v>
      </c>
      <c r="BG205" s="137">
        <f t="shared" si="161"/>
        <v>0.13631030076602108</v>
      </c>
      <c r="BH205" s="47"/>
      <c r="BI205" s="47"/>
      <c r="BJ205" s="47"/>
    </row>
    <row r="206" spans="1:62" ht="16.5" thickBot="1">
      <c r="A206" s="108">
        <f>IF(Data!A206&gt;0,Data!A206,"")</f>
        <v>186</v>
      </c>
      <c r="B206" s="109">
        <f>IF(A206&gt;0,IF(Data!$F$5="lb",Data!B206/2.204,Data!B206),"")</f>
        <v>10.301789873957416</v>
      </c>
      <c r="C206" s="109">
        <f>IF(A206&gt;0,Data!C206,"")</f>
        <v>0.0683598443865776</v>
      </c>
      <c r="D206" s="110">
        <f>IF(A206&gt;0,Data!D206,"")</f>
        <v>27.441532135009766</v>
      </c>
      <c r="E206" s="143">
        <f t="shared" si="111"/>
        <v>-0.28017586876422906</v>
      </c>
      <c r="F206" s="144">
        <f t="shared" si="112"/>
        <v>19.359452952226082</v>
      </c>
      <c r="G206" s="145">
        <f t="shared" si="113"/>
        <v>-8.116259104976972</v>
      </c>
      <c r="H206" s="111">
        <f>IF(A206&gt;0,IF(Data!$F$4="F",(Data!F206-32)/1.8,Data!F206),"")</f>
        <v>115.6899176703559</v>
      </c>
      <c r="I206" s="123">
        <f>IF(A206&gt;0,IF(Data!$F$4="F",(Data!G206-32)/1.8,Data!G206),"")</f>
        <v>26.758948432074654</v>
      </c>
      <c r="J206" s="136">
        <f t="shared" si="114"/>
        <v>0.9969714875310586</v>
      </c>
      <c r="K206" s="128">
        <f t="shared" si="115"/>
        <v>0.8685754624810168</v>
      </c>
      <c r="L206" s="128">
        <f t="shared" si="116"/>
        <v>0.8659449708626765</v>
      </c>
      <c r="M206" s="155">
        <f t="shared" si="117"/>
        <v>4.473401867182712</v>
      </c>
      <c r="N206" s="130">
        <f t="shared" si="118"/>
        <v>10.301789873957416</v>
      </c>
      <c r="O206" s="130">
        <f t="shared" si="119"/>
        <v>91.20092044558899</v>
      </c>
      <c r="P206" s="130">
        <f t="shared" si="162"/>
        <v>9.692826922622611</v>
      </c>
      <c r="Q206" s="130">
        <f t="shared" si="120"/>
        <v>89.75758340582396</v>
      </c>
      <c r="R206" s="129">
        <f t="shared" si="144"/>
        <v>4197.4305053462995</v>
      </c>
      <c r="S206" s="130">
        <f t="shared" si="121"/>
        <v>4.166666666666667</v>
      </c>
      <c r="T206" s="130">
        <f t="shared" si="122"/>
        <v>6.6</v>
      </c>
      <c r="U206" s="134">
        <f t="shared" si="145"/>
        <v>2.68125</v>
      </c>
      <c r="V206" s="130">
        <f t="shared" si="123"/>
        <v>19887</v>
      </c>
      <c r="W206" s="130">
        <f t="shared" si="124"/>
        <v>19.17</v>
      </c>
      <c r="X206" s="130">
        <f t="shared" si="125"/>
        <v>80.60636712558063</v>
      </c>
      <c r="Y206" s="130">
        <f t="shared" si="126"/>
        <v>21.380999237554544</v>
      </c>
      <c r="Z206" s="130">
        <f t="shared" si="127"/>
        <v>6.6078346924939675</v>
      </c>
      <c r="AA206" s="130">
        <f t="shared" si="128"/>
        <v>21.760349339906377</v>
      </c>
      <c r="AB206" s="130">
        <f t="shared" si="129"/>
        <v>0.02275257266185804</v>
      </c>
      <c r="AC206" s="130">
        <f t="shared" si="130"/>
        <v>0.6574795519031498</v>
      </c>
      <c r="AD206" s="130">
        <f t="shared" si="131"/>
        <v>41.73746857309419</v>
      </c>
      <c r="AE206" s="130">
        <f t="shared" si="132"/>
        <v>-12.34450422295801</v>
      </c>
      <c r="AF206" s="130">
        <f t="shared" si="133"/>
        <v>0.10397257859761908</v>
      </c>
      <c r="AG206" s="130">
        <f t="shared" si="134"/>
        <v>0.034605749480722425</v>
      </c>
      <c r="AH206" s="130">
        <f t="shared" si="135"/>
        <v>122.59904797382106</v>
      </c>
      <c r="AI206" s="130">
        <f t="shared" si="136"/>
        <v>33.0966176467672</v>
      </c>
      <c r="AJ206" s="130">
        <f t="shared" si="137"/>
        <v>13.175906470369913</v>
      </c>
      <c r="AK206" s="130">
        <f t="shared" si="146"/>
        <v>388.8399176703559</v>
      </c>
      <c r="AL206" s="130">
        <f t="shared" si="138"/>
        <v>3515.1618425505453</v>
      </c>
      <c r="AM206" s="130">
        <f t="shared" si="139"/>
        <v>2657.379187148802</v>
      </c>
      <c r="AN206" s="130">
        <f t="shared" si="140"/>
        <v>2587.0460782781133</v>
      </c>
      <c r="AO206" s="130">
        <f t="shared" si="141"/>
        <v>2557.7544100336713</v>
      </c>
      <c r="AP206" s="130">
        <f t="shared" si="142"/>
        <v>3357.67485107947</v>
      </c>
      <c r="AQ206" s="130">
        <f t="shared" si="143"/>
        <v>3096.748365239814</v>
      </c>
      <c r="AR206" s="130">
        <f t="shared" si="147"/>
        <v>299.9089484320746</v>
      </c>
      <c r="AS206" s="130">
        <f t="shared" si="148"/>
        <v>146.71395693279325</v>
      </c>
      <c r="AT206" s="130">
        <f t="shared" si="149"/>
        <v>-32.804028597759114</v>
      </c>
      <c r="AU206" s="130">
        <f t="shared" si="150"/>
        <v>29.692493786785448</v>
      </c>
      <c r="AV206" s="130">
        <f t="shared" si="151"/>
        <v>313.5782556209704</v>
      </c>
      <c r="AW206" s="130">
        <f t="shared" si="152"/>
        <v>30.920710389496126</v>
      </c>
      <c r="AX206" s="130">
        <f t="shared" si="153"/>
        <v>1557.7170779033008</v>
      </c>
      <c r="AY206" s="130">
        <f t="shared" si="154"/>
        <v>620.1338984183654</v>
      </c>
      <c r="AZ206" s="130">
        <f t="shared" si="155"/>
        <v>2665.952364453952</v>
      </c>
      <c r="BA206" s="130">
        <f t="shared" si="156"/>
        <v>562.6866686960886</v>
      </c>
      <c r="BB206" s="130">
        <f t="shared" si="157"/>
        <v>12.711934109367306</v>
      </c>
      <c r="BC206" s="130">
        <f t="shared" si="158"/>
        <v>549.9747345867213</v>
      </c>
      <c r="BD206" s="129">
        <f t="shared" si="159"/>
        <v>3634.743836650211</v>
      </c>
      <c r="BE206" s="129">
        <f t="shared" si="163"/>
        <v>0.01937892553819951</v>
      </c>
      <c r="BF206" s="130">
        <f t="shared" si="160"/>
        <v>0.6144564211547512</v>
      </c>
      <c r="BG206" s="137">
        <f t="shared" si="161"/>
        <v>0.11686446706351379</v>
      </c>
      <c r="BH206" s="47"/>
      <c r="BI206" s="47"/>
      <c r="BJ206" s="47"/>
    </row>
    <row r="207" spans="1:62" ht="16.5" thickBot="1">
      <c r="A207" s="108">
        <f>IF(Data!A207&gt;0,Data!A207,"")</f>
        <v>187</v>
      </c>
      <c r="B207" s="109">
        <f>IF(A207&gt;0,IF(Data!$F$5="lb",Data!B207/2.204,Data!B207),"")</f>
        <v>9.85041287763149</v>
      </c>
      <c r="C207" s="109">
        <f>IF(A207&gt;0,Data!C207,"")</f>
        <v>0.06287349760532379</v>
      </c>
      <c r="D207" s="110">
        <f>IF(A207&gt;0,Data!D207,"")</f>
        <v>27.441410064697266</v>
      </c>
      <c r="E207" s="143">
        <f t="shared" si="111"/>
        <v>-0.2800290889379894</v>
      </c>
      <c r="F207" s="144">
        <f t="shared" si="112"/>
        <v>19.35977517694026</v>
      </c>
      <c r="G207" s="145">
        <f t="shared" si="113"/>
        <v>-8.113071636559667</v>
      </c>
      <c r="H207" s="111">
        <f>IF(A207&gt;0,IF(Data!$F$4="F",(Data!F207-32)/1.8,Data!F207),"")</f>
        <v>115.62593248155382</v>
      </c>
      <c r="I207" s="123">
        <f>IF(A207&gt;0,IF(Data!$F$4="F",(Data!G207-32)/1.8,Data!G207),"")</f>
        <v>27.01827155219184</v>
      </c>
      <c r="J207" s="136">
        <f t="shared" si="114"/>
        <v>0.9971437177214791</v>
      </c>
      <c r="K207" s="128">
        <f t="shared" si="115"/>
        <v>0.8686914427581914</v>
      </c>
      <c r="L207" s="128">
        <f t="shared" si="116"/>
        <v>0.8662102147847387</v>
      </c>
      <c r="M207" s="155">
        <f t="shared" si="117"/>
        <v>4.474576967561855</v>
      </c>
      <c r="N207" s="130">
        <f t="shared" si="118"/>
        <v>9.85041287763149</v>
      </c>
      <c r="O207" s="130">
        <f t="shared" si="119"/>
        <v>91.58645559514038</v>
      </c>
      <c r="P207" s="130">
        <f t="shared" si="162"/>
        <v>9.27102060772882</v>
      </c>
      <c r="Q207" s="130">
        <f t="shared" si="120"/>
        <v>90.20330641663242</v>
      </c>
      <c r="R207" s="129">
        <f t="shared" si="144"/>
        <v>8087.004812958525</v>
      </c>
      <c r="S207" s="130">
        <f t="shared" si="121"/>
        <v>4.166666666666667</v>
      </c>
      <c r="T207" s="130">
        <f t="shared" si="122"/>
        <v>6.6</v>
      </c>
      <c r="U207" s="134">
        <f t="shared" si="145"/>
        <v>2.68125</v>
      </c>
      <c r="V207" s="130">
        <f t="shared" si="123"/>
        <v>19887</v>
      </c>
      <c r="W207" s="130">
        <f t="shared" si="124"/>
        <v>19.17</v>
      </c>
      <c r="X207" s="130">
        <f t="shared" si="125"/>
        <v>80.60878807425708</v>
      </c>
      <c r="Y207" s="130">
        <f t="shared" si="126"/>
        <v>21.381641399007183</v>
      </c>
      <c r="Z207" s="130">
        <f t="shared" si="127"/>
        <v>6.606297771165607</v>
      </c>
      <c r="AA207" s="130">
        <f t="shared" si="128"/>
        <v>21.756868343071616</v>
      </c>
      <c r="AB207" s="130">
        <f t="shared" si="129"/>
        <v>0.021957150887441657</v>
      </c>
      <c r="AC207" s="130">
        <f t="shared" si="130"/>
        <v>0.6573266282309779</v>
      </c>
      <c r="AD207" s="130">
        <f t="shared" si="131"/>
        <v>41.74699287407331</v>
      </c>
      <c r="AE207" s="130">
        <f t="shared" si="132"/>
        <v>-12.342526969269251</v>
      </c>
      <c r="AF207" s="130">
        <f t="shared" si="133"/>
        <v>0.09565031280496168</v>
      </c>
      <c r="AG207" s="130">
        <f t="shared" si="134"/>
        <v>0.03340371429426732</v>
      </c>
      <c r="AH207" s="130">
        <f t="shared" si="135"/>
        <v>122.63125303655274</v>
      </c>
      <c r="AI207" s="130">
        <f t="shared" si="136"/>
        <v>33.099021717140104</v>
      </c>
      <c r="AJ207" s="130">
        <f t="shared" si="137"/>
        <v>13.175906470369913</v>
      </c>
      <c r="AK207" s="130">
        <f t="shared" si="146"/>
        <v>388.7759324815538</v>
      </c>
      <c r="AL207" s="130">
        <f t="shared" si="138"/>
        <v>3502.6334530922877</v>
      </c>
      <c r="AM207" s="130">
        <f t="shared" si="139"/>
        <v>2647.796179946394</v>
      </c>
      <c r="AN207" s="130">
        <f t="shared" si="140"/>
        <v>2577.68934256809</v>
      </c>
      <c r="AO207" s="130">
        <f t="shared" si="141"/>
        <v>2548.5093566390337</v>
      </c>
      <c r="AP207" s="130">
        <f t="shared" si="142"/>
        <v>3345.952669073842</v>
      </c>
      <c r="AQ207" s="130">
        <f t="shared" si="143"/>
        <v>3085.539473604179</v>
      </c>
      <c r="AR207" s="130">
        <f t="shared" si="147"/>
        <v>300.1682715521918</v>
      </c>
      <c r="AS207" s="130">
        <f t="shared" si="148"/>
        <v>146.22441380673453</v>
      </c>
      <c r="AT207" s="130">
        <f t="shared" si="149"/>
        <v>-32.68049576011647</v>
      </c>
      <c r="AU207" s="130">
        <f t="shared" si="150"/>
        <v>27.314925763545176</v>
      </c>
      <c r="AV207" s="130">
        <f t="shared" si="151"/>
        <v>312.5268957800236</v>
      </c>
      <c r="AW207" s="130">
        <f t="shared" si="152"/>
        <v>29.846283948327706</v>
      </c>
      <c r="AX207" s="130">
        <f t="shared" si="153"/>
        <v>1557.4592239268509</v>
      </c>
      <c r="AY207" s="130">
        <f t="shared" si="154"/>
        <v>619.9862111105379</v>
      </c>
      <c r="AZ207" s="130">
        <f t="shared" si="155"/>
        <v>2660.677458575903</v>
      </c>
      <c r="BA207" s="130">
        <f t="shared" si="156"/>
        <v>1081.958636960506</v>
      </c>
      <c r="BB207" s="130">
        <f t="shared" si="157"/>
        <v>23.09870024490045</v>
      </c>
      <c r="BC207" s="130">
        <f t="shared" si="158"/>
        <v>1058.8599367156055</v>
      </c>
      <c r="BD207" s="129">
        <f t="shared" si="159"/>
        <v>7005.046175998019</v>
      </c>
      <c r="BE207" s="129">
        <f t="shared" si="163"/>
        <v>23.959815881037137</v>
      </c>
      <c r="BF207" s="130">
        <f t="shared" si="160"/>
        <v>1.0890877015342675</v>
      </c>
      <c r="BG207" s="137">
        <f t="shared" si="161"/>
        <v>0.21733675125936042</v>
      </c>
      <c r="BH207" s="47"/>
      <c r="BI207" s="47"/>
      <c r="BJ207" s="47"/>
    </row>
    <row r="208" spans="1:62" ht="16.5" thickBot="1">
      <c r="A208" s="108">
        <f>IF(Data!A208&gt;0,Data!A208,"")</f>
        <v>188</v>
      </c>
      <c r="B208" s="109">
        <f>IF(A208&gt;0,IF(Data!$F$5="lb",Data!B208/2.204,Data!B208),"")</f>
        <v>9.43174466031</v>
      </c>
      <c r="C208" s="109">
        <f>IF(A208&gt;0,Data!C208,"")</f>
        <v>0.06288568675518036</v>
      </c>
      <c r="D208" s="110">
        <f>IF(A208&gt;0,Data!D208,"")</f>
        <v>27.44137954711914</v>
      </c>
      <c r="E208" s="143">
        <f t="shared" si="111"/>
        <v>-0.28002860916021366</v>
      </c>
      <c r="F208" s="144">
        <f t="shared" si="112"/>
        <v>19.35977622997759</v>
      </c>
      <c r="G208" s="145">
        <f t="shared" si="113"/>
        <v>-8.11304616051914</v>
      </c>
      <c r="H208" s="111">
        <f>IF(A208&gt;0,IF(Data!$F$4="F",(Data!F208-32)/1.8,Data!F208),"")</f>
        <v>114.93531121148003</v>
      </c>
      <c r="I208" s="123">
        <f>IF(A208&gt;0,IF(Data!$F$4="F",(Data!G208-32)/1.8,Data!G208),"")</f>
        <v>26.887715657552082</v>
      </c>
      <c r="J208" s="136">
        <f t="shared" si="114"/>
        <v>0.9971433353090762</v>
      </c>
      <c r="K208" s="128">
        <f t="shared" si="115"/>
        <v>0.8688767018528031</v>
      </c>
      <c r="L208" s="128">
        <f t="shared" si="116"/>
        <v>0.8663946124578539</v>
      </c>
      <c r="M208" s="155">
        <f t="shared" si="117"/>
        <v>4.474579271354377</v>
      </c>
      <c r="N208" s="130">
        <f t="shared" si="118"/>
        <v>9.43174466031</v>
      </c>
      <c r="O208" s="130">
        <f t="shared" si="119"/>
        <v>91.94405315791225</v>
      </c>
      <c r="P208" s="130">
        <f t="shared" si="162"/>
        <v>8.879531321178598</v>
      </c>
      <c r="Q208" s="130">
        <f t="shared" si="120"/>
        <v>90.61699340361918</v>
      </c>
      <c r="R208" s="129">
        <f t="shared" si="144"/>
        <v>3793.5066369332408</v>
      </c>
      <c r="S208" s="130">
        <f t="shared" si="121"/>
        <v>4.166666666666667</v>
      </c>
      <c r="T208" s="130">
        <f t="shared" si="122"/>
        <v>6.6</v>
      </c>
      <c r="U208" s="134">
        <f t="shared" si="145"/>
        <v>2.68125</v>
      </c>
      <c r="V208" s="130">
        <f t="shared" si="123"/>
        <v>19887</v>
      </c>
      <c r="W208" s="130">
        <f t="shared" si="124"/>
        <v>19.17</v>
      </c>
      <c r="X208" s="130">
        <f t="shared" si="125"/>
        <v>80.60878092664481</v>
      </c>
      <c r="Y208" s="130">
        <f t="shared" si="126"/>
        <v>21.38163950308881</v>
      </c>
      <c r="Z208" s="130">
        <f t="shared" si="127"/>
        <v>6.606293784048765</v>
      </c>
      <c r="AA208" s="130">
        <f t="shared" si="128"/>
        <v>21.756851754703185</v>
      </c>
      <c r="AB208" s="130">
        <f t="shared" si="129"/>
        <v>0.021958866328869675</v>
      </c>
      <c r="AC208" s="130">
        <f t="shared" si="130"/>
        <v>0.6573262315128522</v>
      </c>
      <c r="AD208" s="130">
        <f t="shared" si="131"/>
        <v>41.74697164292705</v>
      </c>
      <c r="AE208" s="130">
        <f t="shared" si="132"/>
        <v>-12.342495661319903</v>
      </c>
      <c r="AF208" s="130">
        <f t="shared" si="133"/>
        <v>0.09566891406485853</v>
      </c>
      <c r="AG208" s="130">
        <f t="shared" si="134"/>
        <v>0.033406344180622174</v>
      </c>
      <c r="AH208" s="130">
        <f t="shared" si="135"/>
        <v>122.63131617480373</v>
      </c>
      <c r="AI208" s="130">
        <f t="shared" si="136"/>
        <v>33.09901645736739</v>
      </c>
      <c r="AJ208" s="130">
        <f t="shared" si="137"/>
        <v>13.175906470369913</v>
      </c>
      <c r="AK208" s="130">
        <f t="shared" si="146"/>
        <v>388.08531121148</v>
      </c>
      <c r="AL208" s="130">
        <f t="shared" si="138"/>
        <v>3479.4458530991164</v>
      </c>
      <c r="AM208" s="130">
        <f t="shared" si="139"/>
        <v>2630.7348049502907</v>
      </c>
      <c r="AN208" s="130">
        <f t="shared" si="140"/>
        <v>2561.194008726897</v>
      </c>
      <c r="AO208" s="130">
        <f t="shared" si="141"/>
        <v>2532.176770898325</v>
      </c>
      <c r="AP208" s="130">
        <f t="shared" si="142"/>
        <v>3322.7793203876627</v>
      </c>
      <c r="AQ208" s="130">
        <f t="shared" si="143"/>
        <v>3065.8305394956806</v>
      </c>
      <c r="AR208" s="130">
        <f t="shared" si="147"/>
        <v>300.03771565755204</v>
      </c>
      <c r="AS208" s="130">
        <f t="shared" si="148"/>
        <v>145.25632736242895</v>
      </c>
      <c r="AT208" s="130">
        <f t="shared" si="149"/>
        <v>-32.46983291618223</v>
      </c>
      <c r="AU208" s="130">
        <f t="shared" si="150"/>
        <v>27.318659647480835</v>
      </c>
      <c r="AV208" s="130">
        <f t="shared" si="151"/>
        <v>310.524170202526</v>
      </c>
      <c r="AW208" s="130">
        <f t="shared" si="152"/>
        <v>29.847859620059033</v>
      </c>
      <c r="AX208" s="130">
        <f t="shared" si="153"/>
        <v>1556.806630096254</v>
      </c>
      <c r="AY208" s="130">
        <f t="shared" si="154"/>
        <v>619.7265280380936</v>
      </c>
      <c r="AZ208" s="130">
        <f t="shared" si="155"/>
        <v>2657.0103420506603</v>
      </c>
      <c r="BA208" s="130">
        <f t="shared" si="156"/>
        <v>506.8329243711691</v>
      </c>
      <c r="BB208" s="130">
        <f t="shared" si="157"/>
        <v>10.836744429106254</v>
      </c>
      <c r="BC208" s="130">
        <f t="shared" si="158"/>
        <v>495.99617994206284</v>
      </c>
      <c r="BD208" s="129">
        <f t="shared" si="159"/>
        <v>3286.6737125620716</v>
      </c>
      <c r="BE208" s="129">
        <f t="shared" si="163"/>
        <v>22.240698476000468</v>
      </c>
      <c r="BF208" s="130">
        <f t="shared" si="160"/>
        <v>0.5109759386881193</v>
      </c>
      <c r="BG208" s="137">
        <f t="shared" si="161"/>
        <v>0.10195781233156645</v>
      </c>
      <c r="BH208" s="47"/>
      <c r="BI208" s="47"/>
      <c r="BJ208" s="47"/>
    </row>
    <row r="209" spans="1:62" ht="16.5" thickBot="1">
      <c r="A209" s="108">
        <f>IF(Data!A209&gt;0,Data!A209,"")</f>
        <v>189</v>
      </c>
      <c r="B209" s="109">
        <f>IF(A209&gt;0,IF(Data!$F$5="lb",Data!B209/2.204,Data!B209),"")</f>
        <v>9.442417677863755</v>
      </c>
      <c r="C209" s="109">
        <f>IF(A209&gt;0,Data!C209,"")</f>
        <v>0.06837203353643417</v>
      </c>
      <c r="D209" s="110">
        <f>IF(A209&gt;0,Data!D209,"")</f>
        <v>27.44159507751465</v>
      </c>
      <c r="E209" s="143">
        <f t="shared" si="111"/>
        <v>-0.28017783465455104</v>
      </c>
      <c r="F209" s="144">
        <f t="shared" si="112"/>
        <v>19.359448635629157</v>
      </c>
      <c r="G209" s="145">
        <f t="shared" si="113"/>
        <v>-8.116332458653709</v>
      </c>
      <c r="H209" s="111">
        <f>IF(A209&gt;0,IF(Data!$F$4="F",(Data!F209-32)/1.8,Data!F209),"")</f>
        <v>114.63417053222656</v>
      </c>
      <c r="I209" s="123">
        <f>IF(A209&gt;0,IF(Data!$F$4="F",(Data!G209-32)/1.8,Data!G209),"")</f>
        <v>27.21814473470052</v>
      </c>
      <c r="J209" s="136">
        <f t="shared" si="114"/>
        <v>0.9969711047047574</v>
      </c>
      <c r="K209" s="128">
        <f t="shared" si="115"/>
        <v>0.8690690195889376</v>
      </c>
      <c r="L209" s="128">
        <f t="shared" si="116"/>
        <v>0.8664367005242636</v>
      </c>
      <c r="M209" s="155">
        <f t="shared" si="117"/>
        <v>4.473389257183632</v>
      </c>
      <c r="N209" s="130">
        <f t="shared" si="118"/>
        <v>9.442417677863755</v>
      </c>
      <c r="O209" s="130">
        <f t="shared" si="119"/>
        <v>91.93493700123557</v>
      </c>
      <c r="P209" s="130">
        <f t="shared" si="162"/>
        <v>8.889514434154803</v>
      </c>
      <c r="Q209" s="130">
        <f t="shared" si="120"/>
        <v>90.60644424156098</v>
      </c>
      <c r="R209" s="129">
        <f t="shared" si="144"/>
        <v>4439.883427714524</v>
      </c>
      <c r="S209" s="130">
        <f t="shared" si="121"/>
        <v>4.166666666666667</v>
      </c>
      <c r="T209" s="130">
        <f t="shared" si="122"/>
        <v>6.6</v>
      </c>
      <c r="U209" s="134">
        <f t="shared" si="145"/>
        <v>2.68125</v>
      </c>
      <c r="V209" s="130">
        <f t="shared" si="123"/>
        <v>19887</v>
      </c>
      <c r="W209" s="130">
        <f t="shared" si="124"/>
        <v>19.17</v>
      </c>
      <c r="X209" s="130">
        <f t="shared" si="125"/>
        <v>80.60636534760263</v>
      </c>
      <c r="Y209" s="130">
        <f t="shared" si="126"/>
        <v>21.380998765942344</v>
      </c>
      <c r="Z209" s="130">
        <f t="shared" si="127"/>
        <v>6.607853173510229</v>
      </c>
      <c r="AA209" s="130">
        <f t="shared" si="128"/>
        <v>21.760406582100675</v>
      </c>
      <c r="AB209" s="130">
        <f t="shared" si="129"/>
        <v>0.02275444524153869</v>
      </c>
      <c r="AC209" s="130">
        <f t="shared" si="130"/>
        <v>0.6574813907642678</v>
      </c>
      <c r="AD209" s="130">
        <f t="shared" si="131"/>
        <v>41.73744757340746</v>
      </c>
      <c r="AE209" s="130">
        <f t="shared" si="132"/>
        <v>-12.344581265211389</v>
      </c>
      <c r="AF209" s="130">
        <f t="shared" si="133"/>
        <v>0.10399082696007157</v>
      </c>
      <c r="AG209" s="130">
        <f t="shared" si="134"/>
        <v>0.03460850080500153</v>
      </c>
      <c r="AH209" s="130">
        <f t="shared" si="135"/>
        <v>122.5987023813775</v>
      </c>
      <c r="AI209" s="130">
        <f t="shared" si="136"/>
        <v>33.09661214411863</v>
      </c>
      <c r="AJ209" s="130">
        <f t="shared" si="137"/>
        <v>13.175906470369913</v>
      </c>
      <c r="AK209" s="130">
        <f t="shared" si="146"/>
        <v>387.78417053222654</v>
      </c>
      <c r="AL209" s="130">
        <f t="shared" si="138"/>
        <v>3454.5247399469336</v>
      </c>
      <c r="AM209" s="130">
        <f t="shared" si="139"/>
        <v>2611.8759353573473</v>
      </c>
      <c r="AN209" s="130">
        <f t="shared" si="140"/>
        <v>2542.8296062356053</v>
      </c>
      <c r="AO209" s="130">
        <f t="shared" si="141"/>
        <v>2514.021278571332</v>
      </c>
      <c r="AP209" s="130">
        <f t="shared" si="142"/>
        <v>3299.0165477381315</v>
      </c>
      <c r="AQ209" s="130">
        <f t="shared" si="143"/>
        <v>3043.8464822313117</v>
      </c>
      <c r="AR209" s="130">
        <f t="shared" si="147"/>
        <v>300.3681447347005</v>
      </c>
      <c r="AS209" s="130">
        <f t="shared" si="148"/>
        <v>144.18304522457416</v>
      </c>
      <c r="AT209" s="130">
        <f t="shared" si="149"/>
        <v>-32.24251473866878</v>
      </c>
      <c r="AU209" s="130">
        <f t="shared" si="150"/>
        <v>29.693107047482528</v>
      </c>
      <c r="AV209" s="130">
        <f t="shared" si="151"/>
        <v>308.2157465120169</v>
      </c>
      <c r="AW209" s="130">
        <f t="shared" si="152"/>
        <v>30.92113865942505</v>
      </c>
      <c r="AX209" s="130">
        <f t="shared" si="153"/>
        <v>1555.9659458134017</v>
      </c>
      <c r="AY209" s="130">
        <f t="shared" si="154"/>
        <v>619.436868155739</v>
      </c>
      <c r="AZ209" s="130">
        <f t="shared" si="155"/>
        <v>2656.1733366739704</v>
      </c>
      <c r="BA209" s="130">
        <f t="shared" si="156"/>
        <v>593.0054798931942</v>
      </c>
      <c r="BB209" s="130">
        <f t="shared" si="157"/>
        <v>13.447903400309727</v>
      </c>
      <c r="BC209" s="130">
        <f t="shared" si="158"/>
        <v>579.5575764928844</v>
      </c>
      <c r="BD209" s="129">
        <f t="shared" si="159"/>
        <v>3846.87794782133</v>
      </c>
      <c r="BE209" s="129">
        <f t="shared" si="163"/>
        <v>-0.6013392066664285</v>
      </c>
      <c r="BF209" s="130">
        <f t="shared" si="160"/>
        <v>0.6500628641384731</v>
      </c>
      <c r="BG209" s="137">
        <f t="shared" si="161"/>
        <v>0.12362464659902132</v>
      </c>
      <c r="BH209" s="47"/>
      <c r="BI209" s="47"/>
      <c r="BJ209" s="47"/>
    </row>
    <row r="210" spans="1:62" ht="16.5" thickBot="1">
      <c r="A210" s="108">
        <f>IF(Data!A210&gt;0,Data!A210,"")</f>
        <v>190</v>
      </c>
      <c r="B210" s="109">
        <f>IF(A210&gt;0,IF(Data!$F$5="lb",Data!B210/2.204,Data!B210),"")</f>
        <v>8.954544898169875</v>
      </c>
      <c r="C210" s="109">
        <f>IF(A210&gt;0,Data!C210,"")</f>
        <v>0.07093232870101929</v>
      </c>
      <c r="D210" s="110">
        <f>IF(A210&gt;0,Data!D210,"")</f>
        <v>27.441442489624023</v>
      </c>
      <c r="E210" s="143">
        <f t="shared" si="111"/>
        <v>-0.2802408288916862</v>
      </c>
      <c r="F210" s="144">
        <f t="shared" si="112"/>
        <v>19.3593103037656</v>
      </c>
      <c r="G210" s="145">
        <f t="shared" si="113"/>
        <v>-8.117598350208933</v>
      </c>
      <c r="H210" s="111">
        <f>IF(A210&gt;0,IF(Data!$F$4="F",(Data!F210-32)/1.8,Data!F210),"")</f>
        <v>114.50670030381944</v>
      </c>
      <c r="I210" s="123">
        <f>IF(A210&gt;0,IF(Data!$F$4="F",(Data!G210-32)/1.8,Data!G210),"")</f>
        <v>27.032542758517796</v>
      </c>
      <c r="J210" s="136">
        <f t="shared" si="114"/>
        <v>0.9968907585792913</v>
      </c>
      <c r="K210" s="128">
        <f t="shared" si="115"/>
        <v>0.8690458256728066</v>
      </c>
      <c r="L210" s="128">
        <f t="shared" si="116"/>
        <v>0.8663437523951307</v>
      </c>
      <c r="M210" s="155">
        <f t="shared" si="117"/>
        <v>4.472874495859353</v>
      </c>
      <c r="N210" s="130">
        <f t="shared" si="118"/>
        <v>8.954544898169875</v>
      </c>
      <c r="O210" s="130">
        <f t="shared" si="119"/>
        <v>92.35164433592993</v>
      </c>
      <c r="P210" s="130">
        <f t="shared" si="162"/>
        <v>8.433020190518919</v>
      </c>
      <c r="Q210" s="130">
        <f t="shared" si="120"/>
        <v>91.08882200952146</v>
      </c>
      <c r="R210" s="129">
        <f t="shared" si="144"/>
        <v>4353.2872140190275</v>
      </c>
      <c r="S210" s="130">
        <f t="shared" si="121"/>
        <v>4.166666666666667</v>
      </c>
      <c r="T210" s="130">
        <f t="shared" si="122"/>
        <v>6.6</v>
      </c>
      <c r="U210" s="134">
        <f t="shared" si="145"/>
        <v>2.68125</v>
      </c>
      <c r="V210" s="130">
        <f t="shared" si="123"/>
        <v>19887</v>
      </c>
      <c r="W210" s="130">
        <f t="shared" si="124"/>
        <v>19.17</v>
      </c>
      <c r="X210" s="130">
        <f t="shared" si="125"/>
        <v>80.6052235318839</v>
      </c>
      <c r="Y210" s="130">
        <f t="shared" si="126"/>
        <v>21.38069589705143</v>
      </c>
      <c r="Z210" s="130">
        <f t="shared" si="127"/>
        <v>6.60852002593509</v>
      </c>
      <c r="AA210" s="130">
        <f t="shared" si="128"/>
        <v>21.761865506110126</v>
      </c>
      <c r="AB210" s="130">
        <f t="shared" si="129"/>
        <v>0.02312528973783401</v>
      </c>
      <c r="AC210" s="130">
        <f t="shared" si="130"/>
        <v>0.6575477425805415</v>
      </c>
      <c r="AD210" s="130">
        <f t="shared" si="131"/>
        <v>41.73300387577984</v>
      </c>
      <c r="AE210" s="130">
        <f t="shared" si="132"/>
        <v>-12.34526076897698</v>
      </c>
      <c r="AF210" s="130">
        <f t="shared" si="133"/>
        <v>0.10787403576605079</v>
      </c>
      <c r="AG210" s="130">
        <f t="shared" si="134"/>
        <v>0.03516898962663756</v>
      </c>
      <c r="AH210" s="130">
        <f t="shared" si="135"/>
        <v>122.5845947178668</v>
      </c>
      <c r="AI210" s="130">
        <f t="shared" si="136"/>
        <v>33.09549116647536</v>
      </c>
      <c r="AJ210" s="130">
        <f t="shared" si="137"/>
        <v>13.175906470369913</v>
      </c>
      <c r="AK210" s="130">
        <f t="shared" si="146"/>
        <v>387.65670030381943</v>
      </c>
      <c r="AL210" s="130">
        <f t="shared" si="138"/>
        <v>3456.424909433611</v>
      </c>
      <c r="AM210" s="130">
        <f t="shared" si="139"/>
        <v>2613.4895997889103</v>
      </c>
      <c r="AN210" s="130">
        <f t="shared" si="140"/>
        <v>2544.443910523216</v>
      </c>
      <c r="AO210" s="130">
        <f t="shared" si="141"/>
        <v>2515.608209572977</v>
      </c>
      <c r="AP210" s="130">
        <f t="shared" si="142"/>
        <v>3300.443596796592</v>
      </c>
      <c r="AQ210" s="130">
        <f t="shared" si="143"/>
        <v>3045.7925939744728</v>
      </c>
      <c r="AR210" s="130">
        <f t="shared" si="147"/>
        <v>300.1825427585178</v>
      </c>
      <c r="AS210" s="130">
        <f t="shared" si="148"/>
        <v>144.2469941417349</v>
      </c>
      <c r="AT210" s="130">
        <f t="shared" si="149"/>
        <v>-32.26421062640338</v>
      </c>
      <c r="AU210" s="130">
        <f t="shared" si="150"/>
        <v>30.8020764369505</v>
      </c>
      <c r="AV210" s="130">
        <f t="shared" si="151"/>
        <v>308.374812839442</v>
      </c>
      <c r="AW210" s="130">
        <f t="shared" si="152"/>
        <v>31.421960396708226</v>
      </c>
      <c r="AX210" s="130">
        <f t="shared" si="153"/>
        <v>1555.9776529875537</v>
      </c>
      <c r="AY210" s="130">
        <f t="shared" si="154"/>
        <v>619.4625099420479</v>
      </c>
      <c r="AZ210" s="130">
        <f t="shared" si="155"/>
        <v>2658.0217961180338</v>
      </c>
      <c r="BA210" s="130">
        <f t="shared" si="156"/>
        <v>581.8440337720383</v>
      </c>
      <c r="BB210" s="130">
        <f t="shared" si="157"/>
        <v>13.535382533037918</v>
      </c>
      <c r="BC210" s="130">
        <f t="shared" si="158"/>
        <v>568.3086512390004</v>
      </c>
      <c r="BD210" s="129">
        <f t="shared" si="159"/>
        <v>3771.443180246989</v>
      </c>
      <c r="BE210" s="129">
        <f t="shared" si="163"/>
        <v>28.226629570953413</v>
      </c>
      <c r="BF210" s="130">
        <f t="shared" si="160"/>
        <v>0.6611850202393244</v>
      </c>
      <c r="BG210" s="137">
        <f t="shared" si="161"/>
        <v>0.12317651762185072</v>
      </c>
      <c r="BH210" s="47"/>
      <c r="BI210" s="47"/>
      <c r="BJ210" s="47"/>
    </row>
    <row r="211" spans="1:62" ht="16.5" thickBot="1">
      <c r="A211" s="108">
        <f>IF(Data!A211&gt;0,Data!A211,"")</f>
        <v>191</v>
      </c>
      <c r="B211" s="109">
        <f>IF(A211&gt;0,IF(Data!$F$5="lb",Data!B211/2.204,Data!B211),"")</f>
        <v>8.974514942203804</v>
      </c>
      <c r="C211" s="109">
        <f>IF(A211&gt;0,Data!C211,"")</f>
        <v>0.0683598443865776</v>
      </c>
      <c r="D211" s="110">
        <f>IF(A211&gt;0,Data!D211,"")</f>
        <v>27.441471099853516</v>
      </c>
      <c r="E211" s="143">
        <f t="shared" si="111"/>
        <v>-0.2801742717141268</v>
      </c>
      <c r="F211" s="144">
        <f t="shared" si="112"/>
        <v>19.359456458926005</v>
      </c>
      <c r="G211" s="145">
        <f t="shared" si="113"/>
        <v>-8.1161945631208</v>
      </c>
      <c r="H211" s="111">
        <f>IF(A211&gt;0,IF(Data!$F$4="F",(Data!F211-32)/1.8,Data!F211),"")</f>
        <v>114.64628431532118</v>
      </c>
      <c r="I211" s="123">
        <f>IF(A211&gt;0,IF(Data!$F$4="F",(Data!G211-32)/1.8,Data!G211),"")</f>
        <v>26.965785556369358</v>
      </c>
      <c r="J211" s="136">
        <f t="shared" si="114"/>
        <v>0.9969714877924288</v>
      </c>
      <c r="K211" s="128">
        <f t="shared" si="115"/>
        <v>0.8689844238277823</v>
      </c>
      <c r="L211" s="128">
        <f t="shared" si="116"/>
        <v>0.8663526938920306</v>
      </c>
      <c r="M211" s="155">
        <f t="shared" si="117"/>
        <v>4.47341160603248</v>
      </c>
      <c r="N211" s="130">
        <f t="shared" si="118"/>
        <v>8.974514942203804</v>
      </c>
      <c r="O211" s="130">
        <f t="shared" si="119"/>
        <v>92.3345872994043</v>
      </c>
      <c r="P211" s="130">
        <f t="shared" si="162"/>
        <v>8.451712129732917</v>
      </c>
      <c r="Q211" s="130">
        <f t="shared" si="120"/>
        <v>91.06907022504093</v>
      </c>
      <c r="R211" s="129">
        <f t="shared" si="144"/>
        <v>4029.281488315413</v>
      </c>
      <c r="S211" s="130">
        <f t="shared" si="121"/>
        <v>4.166666666666667</v>
      </c>
      <c r="T211" s="130">
        <f t="shared" si="122"/>
        <v>6.6</v>
      </c>
      <c r="U211" s="134">
        <f t="shared" si="145"/>
        <v>2.68125</v>
      </c>
      <c r="V211" s="130">
        <f t="shared" si="123"/>
        <v>19887</v>
      </c>
      <c r="W211" s="130">
        <f t="shared" si="124"/>
        <v>19.17</v>
      </c>
      <c r="X211" s="130">
        <f t="shared" si="125"/>
        <v>80.6063636188807</v>
      </c>
      <c r="Y211" s="130">
        <f t="shared" si="126"/>
        <v>21.380998307395412</v>
      </c>
      <c r="Z211" s="130">
        <f t="shared" si="127"/>
        <v>6.607820019427453</v>
      </c>
      <c r="AA211" s="130">
        <f t="shared" si="128"/>
        <v>21.76030112402867</v>
      </c>
      <c r="AB211" s="130">
        <f t="shared" si="129"/>
        <v>0.022752470040963146</v>
      </c>
      <c r="AC211" s="130">
        <f t="shared" si="130"/>
        <v>0.6574780919330315</v>
      </c>
      <c r="AD211" s="130">
        <f t="shared" si="131"/>
        <v>41.73746842145519</v>
      </c>
      <c r="AE211" s="130">
        <f t="shared" si="132"/>
        <v>-12.34443346889114</v>
      </c>
      <c r="AF211" s="130">
        <f t="shared" si="133"/>
        <v>0.10397280947505777</v>
      </c>
      <c r="AG211" s="130">
        <f t="shared" si="134"/>
        <v>0.03460567024228792</v>
      </c>
      <c r="AH211" s="130">
        <f t="shared" si="135"/>
        <v>122.59931487890701</v>
      </c>
      <c r="AI211" s="130">
        <f t="shared" si="136"/>
        <v>33.09661780524407</v>
      </c>
      <c r="AJ211" s="130">
        <f t="shared" si="137"/>
        <v>13.175906470369913</v>
      </c>
      <c r="AK211" s="130">
        <f t="shared" si="146"/>
        <v>387.79628431532115</v>
      </c>
      <c r="AL211" s="130">
        <f t="shared" si="138"/>
        <v>3464.6707974749</v>
      </c>
      <c r="AM211" s="130">
        <f t="shared" si="139"/>
        <v>2619.683248011184</v>
      </c>
      <c r="AN211" s="130">
        <f t="shared" si="140"/>
        <v>2550.4638327788757</v>
      </c>
      <c r="AO211" s="130">
        <f t="shared" si="141"/>
        <v>2521.5620274606736</v>
      </c>
      <c r="AP211" s="130">
        <f t="shared" si="142"/>
        <v>3308.4077474588744</v>
      </c>
      <c r="AQ211" s="130">
        <f t="shared" si="143"/>
        <v>3052.9954578780566</v>
      </c>
      <c r="AR211" s="130">
        <f t="shared" si="147"/>
        <v>300.11578555636936</v>
      </c>
      <c r="AS211" s="130">
        <f t="shared" si="148"/>
        <v>144.60658800034662</v>
      </c>
      <c r="AT211" s="130">
        <f t="shared" si="149"/>
        <v>-32.33850556464271</v>
      </c>
      <c r="AU211" s="130">
        <f t="shared" si="150"/>
        <v>29.688756161933565</v>
      </c>
      <c r="AV211" s="130">
        <f t="shared" si="151"/>
        <v>309.1417769913463</v>
      </c>
      <c r="AW211" s="130">
        <f t="shared" si="152"/>
        <v>30.918934667729637</v>
      </c>
      <c r="AX211" s="130">
        <f t="shared" si="153"/>
        <v>1556.269012109313</v>
      </c>
      <c r="AY211" s="130">
        <f t="shared" si="154"/>
        <v>619.5574142031602</v>
      </c>
      <c r="AZ211" s="130">
        <f t="shared" si="155"/>
        <v>2657.8439765691865</v>
      </c>
      <c r="BA211" s="130">
        <f t="shared" si="156"/>
        <v>538.5026164640643</v>
      </c>
      <c r="BB211" s="130">
        <f t="shared" si="157"/>
        <v>12.20269312434818</v>
      </c>
      <c r="BC211" s="130">
        <f t="shared" si="158"/>
        <v>526.2999233397161</v>
      </c>
      <c r="BD211" s="129">
        <f t="shared" si="159"/>
        <v>3490.7788718513484</v>
      </c>
      <c r="BE211" s="129">
        <f t="shared" si="163"/>
        <v>-1.1257785312869455</v>
      </c>
      <c r="BF211" s="130">
        <f t="shared" si="160"/>
        <v>0.5898426138767978</v>
      </c>
      <c r="BG211" s="137">
        <f t="shared" si="161"/>
        <v>0.11218262100708865</v>
      </c>
      <c r="BH211" s="47"/>
      <c r="BI211" s="47"/>
      <c r="BJ211" s="47"/>
    </row>
    <row r="212" spans="1:62" ht="16.5" thickBot="1">
      <c r="A212" s="108">
        <f>IF(Data!A212&gt;0,Data!A212,"")</f>
        <v>192</v>
      </c>
      <c r="B212" s="109">
        <f>IF(A212&gt;0,IF(Data!$F$5="lb",Data!B212/2.204,Data!B212),"")</f>
        <v>8.521760223997916</v>
      </c>
      <c r="C212" s="109">
        <f>IF(A212&gt;0,Data!C212,"")</f>
        <v>0.07090794295072556</v>
      </c>
      <c r="D212" s="110">
        <f>IF(A212&gt;0,Data!D212,"")</f>
        <v>27.44186782836914</v>
      </c>
      <c r="E212" s="143">
        <f t="shared" si="111"/>
        <v>-0.2802513181857367</v>
      </c>
      <c r="F212" s="144">
        <f t="shared" si="112"/>
        <v>19.359287267503852</v>
      </c>
      <c r="G212" s="145">
        <f t="shared" si="113"/>
        <v>-8.118034532340651</v>
      </c>
      <c r="H212" s="111">
        <f>IF(A212&gt;0,IF(Data!$F$4="F",(Data!F212-32)/1.8,Data!F212),"")</f>
        <v>114.37191433376736</v>
      </c>
      <c r="I212" s="123">
        <f>IF(A212&gt;0,IF(Data!$F$4="F",(Data!G212-32)/1.8,Data!G212),"")</f>
        <v>26.861597696940102</v>
      </c>
      <c r="J212" s="136">
        <f t="shared" si="114"/>
        <v>0.9968915231843902</v>
      </c>
      <c r="K212" s="128">
        <f t="shared" si="115"/>
        <v>0.8690359064343763</v>
      </c>
      <c r="L212" s="128">
        <f t="shared" si="116"/>
        <v>0.8663345284672928</v>
      </c>
      <c r="M212" s="155">
        <f t="shared" si="117"/>
        <v>4.47281177874302</v>
      </c>
      <c r="N212" s="130">
        <f t="shared" si="118"/>
        <v>8.521760223997916</v>
      </c>
      <c r="O212" s="130">
        <f t="shared" si="119"/>
        <v>92.72129920411896</v>
      </c>
      <c r="P212" s="130">
        <f t="shared" si="162"/>
        <v>8.027802562086737</v>
      </c>
      <c r="Q212" s="130">
        <f t="shared" si="120"/>
        <v>91.5170157444183</v>
      </c>
      <c r="R212" s="129">
        <f t="shared" si="144"/>
        <v>8102.532159760893</v>
      </c>
      <c r="S212" s="130">
        <f t="shared" si="121"/>
        <v>4.166666666666667</v>
      </c>
      <c r="T212" s="130">
        <f t="shared" si="122"/>
        <v>6.6</v>
      </c>
      <c r="U212" s="134">
        <f t="shared" si="145"/>
        <v>2.68125</v>
      </c>
      <c r="V212" s="130">
        <f t="shared" si="123"/>
        <v>19887</v>
      </c>
      <c r="W212" s="130">
        <f t="shared" si="124"/>
        <v>19.17</v>
      </c>
      <c r="X212" s="130">
        <f t="shared" si="125"/>
        <v>80.60525876102079</v>
      </c>
      <c r="Y212" s="130">
        <f t="shared" si="126"/>
        <v>21.380705241650077</v>
      </c>
      <c r="Z212" s="130">
        <f t="shared" si="127"/>
        <v>6.6086155779872255</v>
      </c>
      <c r="AA212" s="130">
        <f t="shared" si="128"/>
        <v>21.762186466770693</v>
      </c>
      <c r="AB212" s="130">
        <f t="shared" si="129"/>
        <v>0.023122470293575503</v>
      </c>
      <c r="AC212" s="130">
        <f t="shared" si="130"/>
        <v>0.657557250009729</v>
      </c>
      <c r="AD212" s="130">
        <f t="shared" si="131"/>
        <v>41.73304731711668</v>
      </c>
      <c r="AE212" s="130">
        <f t="shared" si="132"/>
        <v>-12.345745609558012</v>
      </c>
      <c r="AF212" s="130">
        <f t="shared" si="133"/>
        <v>0.10783539068222034</v>
      </c>
      <c r="AG212" s="130">
        <f t="shared" si="134"/>
        <v>0.03516419337363156</v>
      </c>
      <c r="AH212" s="130">
        <f t="shared" si="135"/>
        <v>122.58287587860706</v>
      </c>
      <c r="AI212" s="130">
        <f t="shared" si="136"/>
        <v>33.09550075898138</v>
      </c>
      <c r="AJ212" s="130">
        <f t="shared" si="137"/>
        <v>13.175906470369913</v>
      </c>
      <c r="AK212" s="130">
        <f t="shared" si="146"/>
        <v>387.5219143337673</v>
      </c>
      <c r="AL212" s="130">
        <f t="shared" si="138"/>
        <v>3457.465745827313</v>
      </c>
      <c r="AM212" s="130">
        <f t="shared" si="139"/>
        <v>2614.449539180573</v>
      </c>
      <c r="AN212" s="130">
        <f t="shared" si="140"/>
        <v>2545.4207914309645</v>
      </c>
      <c r="AO212" s="130">
        <f t="shared" si="141"/>
        <v>2516.5651443144966</v>
      </c>
      <c r="AP212" s="130">
        <f t="shared" si="142"/>
        <v>3301.058768013473</v>
      </c>
      <c r="AQ212" s="130">
        <f t="shared" si="143"/>
        <v>3046.975379077781</v>
      </c>
      <c r="AR212" s="130">
        <f t="shared" si="147"/>
        <v>300.0115976969401</v>
      </c>
      <c r="AS212" s="130">
        <f t="shared" si="148"/>
        <v>144.29058156792138</v>
      </c>
      <c r="AT212" s="130">
        <f t="shared" si="149"/>
        <v>-32.27732891974953</v>
      </c>
      <c r="AU212" s="130">
        <f t="shared" si="150"/>
        <v>30.79114716082819</v>
      </c>
      <c r="AV212" s="130">
        <f t="shared" si="151"/>
        <v>308.48779272593276</v>
      </c>
      <c r="AW212" s="130">
        <f t="shared" si="152"/>
        <v>31.417696785554522</v>
      </c>
      <c r="AX212" s="130">
        <f t="shared" si="153"/>
        <v>1556.0172488425185</v>
      </c>
      <c r="AY212" s="130">
        <f t="shared" si="154"/>
        <v>619.4780942079435</v>
      </c>
      <c r="AZ212" s="130">
        <f t="shared" si="155"/>
        <v>2658.2052323709495</v>
      </c>
      <c r="BA212" s="130">
        <f t="shared" si="156"/>
        <v>1083.0287817433648</v>
      </c>
      <c r="BB212" s="130">
        <f t="shared" si="157"/>
        <v>25.186461922768302</v>
      </c>
      <c r="BC212" s="130">
        <f t="shared" si="158"/>
        <v>1057.8423198205965</v>
      </c>
      <c r="BD212" s="129">
        <f t="shared" si="159"/>
        <v>7019.503378017528</v>
      </c>
      <c r="BE212" s="129">
        <f t="shared" si="163"/>
        <v>26.20535968275378</v>
      </c>
      <c r="BF212" s="130">
        <f t="shared" si="160"/>
        <v>1.230186161158846</v>
      </c>
      <c r="BG212" s="137">
        <f t="shared" si="161"/>
        <v>0.22923035766633526</v>
      </c>
      <c r="BH212" s="47"/>
      <c r="BI212" s="47"/>
      <c r="BJ212" s="47"/>
    </row>
    <row r="213" spans="1:62" ht="16.5" thickBot="1">
      <c r="A213" s="108">
        <f>IF(Data!A213&gt;0,Data!A213,"")</f>
        <v>193</v>
      </c>
      <c r="B213" s="109">
        <f>IF(A213&gt;0,IF(Data!$F$5="lb",Data!B213/2.204,Data!B213),"")</f>
        <v>8.104469728556388</v>
      </c>
      <c r="C213" s="109">
        <f>IF(A213&gt;0,Data!C213,"")</f>
        <v>0.0683598443865776</v>
      </c>
      <c r="D213" s="110">
        <f>IF(A213&gt;0,Data!D213,"")</f>
        <v>27.441442489624023</v>
      </c>
      <c r="E213" s="143">
        <f aca="true" t="shared" si="164" ref="E213:E276">IF(A213&gt;0,($H$10/(C213+D213))-1,"")</f>
        <v>-0.28017352309445187</v>
      </c>
      <c r="F213" s="144">
        <f aca="true" t="shared" si="165" ref="F213:F276">IF(A213&gt;0,($H$10+(E213)*20.94)/(E213+1),"")</f>
        <v>19.359458102691587</v>
      </c>
      <c r="G213" s="145">
        <f aca="true" t="shared" si="166" ref="G213:G276">IF(A213&gt;0,F213-D213-C213/2,"")</f>
        <v>-8.116164309125725</v>
      </c>
      <c r="H213" s="111">
        <f>IF(A213&gt;0,IF(Data!$F$4="F",(Data!F213-32)/1.8,Data!F213),"")</f>
        <v>114.42621019151476</v>
      </c>
      <c r="I213" s="123">
        <f>IF(A213&gt;0,IF(Data!$F$4="F",(Data!G213-32)/1.8,Data!G213),"")</f>
        <v>26.773982577853733</v>
      </c>
      <c r="J213" s="136">
        <f aca="true" t="shared" si="167" ref="J213:J276">IF(A213&gt;0,(V213-(AF213*282.993+AG213*890.156))/V213,"")</f>
        <v>0.9969714879149469</v>
      </c>
      <c r="K213" s="128">
        <f aca="true" t="shared" si="168" ref="K213:K276">IF(A213&gt;0,((V213-SUM(AS213:AY213))/V213)/J213,"")</f>
        <v>0.8689954954492618</v>
      </c>
      <c r="L213" s="128">
        <f aca="true" t="shared" si="169" ref="L213:L276">IF(A213&gt;0,BD213/R213,"")</f>
        <v>0.8663637320894371</v>
      </c>
      <c r="M213" s="155">
        <f aca="true" t="shared" si="170" ref="M213:M276">IF(A213&gt;0,(32*Y213+28*X213)/(Z213*(12*S213+T213+16*U213)),"")</f>
        <v>4.473416171133199</v>
      </c>
      <c r="N213" s="130">
        <f aca="true" t="shared" si="171" ref="N213:N276">IF(A213&gt;0,$B213,"")</f>
        <v>8.104469728556388</v>
      </c>
      <c r="O213" s="130">
        <f aca="true" t="shared" si="172" ref="O213:O276">IF(A213&gt;0,100*(($B$20)-($B213))/($B$20),"")</f>
        <v>93.07772001172754</v>
      </c>
      <c r="P213" s="130">
        <f t="shared" si="162"/>
        <v>7.636854970808905</v>
      </c>
      <c r="Q213" s="130">
        <f aca="true" t="shared" si="173" ref="Q213:Q276">IF(A213&gt;0,100*($AI$4-$P213)/$AI$4,"")</f>
        <v>91.93013032165392</v>
      </c>
      <c r="R213" s="129">
        <f t="shared" si="144"/>
        <v>3897.0080882111806</v>
      </c>
      <c r="S213" s="130">
        <f aca="true" t="shared" si="174" ref="S213:S276">IF(A213&gt;0,(+$AI$5/12),"")</f>
        <v>4.166666666666667</v>
      </c>
      <c r="T213" s="130">
        <f aca="true" t="shared" si="175" ref="T213:T276">IF(A213&gt;0,$AI$6,"")</f>
        <v>6.6</v>
      </c>
      <c r="U213" s="134">
        <f t="shared" si="145"/>
        <v>2.68125</v>
      </c>
      <c r="V213" s="130">
        <f aca="true" t="shared" si="176" ref="V213:V276">IF(A213&gt;0,$AA$13,"")</f>
        <v>19887</v>
      </c>
      <c r="W213" s="130">
        <f aca="true" t="shared" si="177" ref="W213:W276">IF(A213&gt;0,$AI$2,"")</f>
        <v>19.17</v>
      </c>
      <c r="X213" s="130">
        <f aca="true" t="shared" si="178" ref="X213:X276">IF(A213&gt;0,100-$C213-$D213-$G213,"")</f>
        <v>80.60636197511512</v>
      </c>
      <c r="Y213" s="130">
        <f aca="true" t="shared" si="179" ref="Y213:Y276">IF(A213&gt;0,X213/3.77,"")</f>
        <v>21.38099787138332</v>
      </c>
      <c r="Z213" s="130">
        <f aca="true" t="shared" si="180" ref="Z213:Z276">IF(A213&gt;0,(8*$D213+4*$G213+6*$C213-4*Y213)/(4*S213-T213+2*U213),"")</f>
        <v>6.607813141427522</v>
      </c>
      <c r="AA213" s="130">
        <f aca="true" t="shared" si="181" ref="AA213:AA276">IF(A213&gt;0,(T213*Z213-4*AB213)/2,"")</f>
        <v>21.760278522836</v>
      </c>
      <c r="AB213" s="130">
        <f aca="true" t="shared" si="182" ref="AB213:AB276">IF(A213&gt;0,+Z213*S213-$D213-$C213,"")</f>
        <v>0.022752421937411782</v>
      </c>
      <c r="AC213" s="130">
        <f aca="true" t="shared" si="183" ref="AC213:AC276">IF(A213&gt;0,0.001*$Z213*(12*$S213+$T213+16*$U213),"")</f>
        <v>0.6574774075720384</v>
      </c>
      <c r="AD213" s="130">
        <f aca="true" t="shared" si="184" ref="AD213:AD276">IF(A213&gt;0,D213/(0.001*$Z213*(12*$S213+$T213+16*$U213)),"")</f>
        <v>41.737468350374186</v>
      </c>
      <c r="AE213" s="130">
        <f aca="true" t="shared" si="185" ref="AE213:AE276">IF(A213&gt;0,G213/(0.001*$Z213*(12*$S213+$T213+16*$U213)),"")</f>
        <v>-12.344400302814138</v>
      </c>
      <c r="AF213" s="130">
        <f aca="true" t="shared" si="186" ref="AF213:AF276">IF(A213&gt;0,C213/(0.001*$Z213*(12*$S213+$T213+16*$U213)),"")</f>
        <v>0.10397291769921016</v>
      </c>
      <c r="AG213" s="130">
        <f aca="true" t="shared" si="187" ref="AG213:AG276">IF(A213&gt;0,+AB213/AC213,"")</f>
        <v>0.03460563309914014</v>
      </c>
      <c r="AH213" s="130">
        <f aca="true" t="shared" si="188" ref="AH213:AH276">IF(A213&gt;0,+X213/AC213,"")</f>
        <v>122.59943999107414</v>
      </c>
      <c r="AI213" s="130">
        <f aca="true" t="shared" si="189" ref="AI213:AI276">IF(A213&gt;0,AA213/AC213,"")</f>
        <v>33.09661787953036</v>
      </c>
      <c r="AJ213" s="130">
        <f aca="true" t="shared" si="190" ref="AJ213:AJ276">IF(A213&gt;0,W213/(100-W213)*55.556,"")</f>
        <v>13.175906470369913</v>
      </c>
      <c r="AK213" s="130">
        <f t="shared" si="146"/>
        <v>387.57621019151475</v>
      </c>
      <c r="AL213" s="130">
        <f aca="true" t="shared" si="191" ref="AL213:AL276">IF(A213&gt;0,($AK213-$AR213)*(0.029*(($AK213+$AR213)/2)+29.54),"")</f>
        <v>3463.0301927328655</v>
      </c>
      <c r="AM213" s="130">
        <f aca="true" t="shared" si="192" ref="AM213:AM276">IF(A213&gt;0,($AK213-$AR213)*(0.009*(($AK213+$AR213)/2)+26.782),"")</f>
        <v>2618.6761151638234</v>
      </c>
      <c r="AN213" s="130">
        <f aca="true" t="shared" si="193" ref="AN213:AN276">IF(A213&gt;0,($AK213-$AR213)*(0.0056*(($AK213+$AR213)/2)+27.162),"")</f>
        <v>2549.5403919092187</v>
      </c>
      <c r="AO213" s="130">
        <f aca="true" t="shared" si="194" ref="AO213:AO276">IF(A213&gt;0,($AK213-$AR213)*(0.0062*(($AK213+$AR213)/2)+26.626),"")</f>
        <v>2520.637074922613</v>
      </c>
      <c r="AP213" s="130">
        <f aca="true" t="shared" si="195" ref="AP213:AP276">IF(A213&gt;0,($AK213-$AR213)*(0.056*(($AK213+$AR213)/2)+18.471),"")</f>
        <v>3306.3301509215144</v>
      </c>
      <c r="AQ213" s="130">
        <f aca="true" t="shared" si="196" ref="AQ213:AQ276">IF(A213&gt;0,($AK213-$AR213)*(0.0057*(($AK213+$AR213)/2)+32.859),"")</f>
        <v>3051.9081787932987</v>
      </c>
      <c r="AR213" s="130">
        <f t="shared" si="147"/>
        <v>299.92398257785374</v>
      </c>
      <c r="AS213" s="130">
        <f t="shared" si="148"/>
        <v>144.5381130655782</v>
      </c>
      <c r="AT213" s="130">
        <f t="shared" si="149"/>
        <v>-32.325986229000456</v>
      </c>
      <c r="AU213" s="130">
        <f t="shared" si="150"/>
        <v>29.688691051791366</v>
      </c>
      <c r="AV213" s="130">
        <f t="shared" si="151"/>
        <v>309.02869380625157</v>
      </c>
      <c r="AW213" s="130">
        <f t="shared" si="152"/>
        <v>30.918829585105605</v>
      </c>
      <c r="AX213" s="130">
        <f t="shared" si="153"/>
        <v>1556.2330303420058</v>
      </c>
      <c r="AY213" s="130">
        <f t="shared" si="154"/>
        <v>619.5430883156322</v>
      </c>
      <c r="AZ213" s="130">
        <f t="shared" si="155"/>
        <v>2657.6244599373645</v>
      </c>
      <c r="BA213" s="130">
        <f t="shared" si="156"/>
        <v>520.7816169258199</v>
      </c>
      <c r="BB213" s="130">
        <f t="shared" si="157"/>
        <v>11.802102190633864</v>
      </c>
      <c r="BC213" s="130">
        <f t="shared" si="158"/>
        <v>508.979514735186</v>
      </c>
      <c r="BD213" s="129">
        <f t="shared" si="159"/>
        <v>3376.2264712853607</v>
      </c>
      <c r="BE213" s="129">
        <f t="shared" si="163"/>
        <v>23.545999282103004</v>
      </c>
      <c r="BF213" s="130">
        <f t="shared" si="160"/>
        <v>0.5704798327754135</v>
      </c>
      <c r="BG213" s="137">
        <f t="shared" si="161"/>
        <v>0.10849976936492596</v>
      </c>
      <c r="BH213" s="47"/>
      <c r="BI213" s="47"/>
      <c r="BJ213" s="47"/>
    </row>
    <row r="214" spans="1:62" ht="16.5" thickBot="1">
      <c r="A214" s="108">
        <f>IF(Data!A214&gt;0,Data!A214,"")</f>
        <v>194</v>
      </c>
      <c r="B214" s="109">
        <f>IF(A214&gt;0,IF(Data!$F$5="lb",Data!B214/2.204,Data!B214),"")</f>
        <v>8.103437302549608</v>
      </c>
      <c r="C214" s="109">
        <f>IF(A214&gt;0,Data!C214,"")</f>
        <v>0.07092013210058212</v>
      </c>
      <c r="D214" s="110">
        <f>IF(A214&gt;0,Data!D214,"")</f>
        <v>27.44137954711914</v>
      </c>
      <c r="E214" s="143">
        <f t="shared" si="164"/>
        <v>-0.28023886315051616</v>
      </c>
      <c r="F214" s="144">
        <f t="shared" si="165"/>
        <v>19.359314620790588</v>
      </c>
      <c r="G214" s="145">
        <f t="shared" si="166"/>
        <v>-8.117524992378844</v>
      </c>
      <c r="H214" s="111">
        <f>IF(A214&gt;0,IF(Data!$F$4="F",(Data!F214-32)/1.8,Data!F214),"")</f>
        <v>114.57883199055989</v>
      </c>
      <c r="I214" s="123">
        <f>IF(A214&gt;0,IF(Data!$F$4="F",(Data!G214-32)/1.8,Data!G214),"")</f>
        <v>27.004161410861546</v>
      </c>
      <c r="J214" s="136">
        <f t="shared" si="167"/>
        <v>0.9968911413760589</v>
      </c>
      <c r="K214" s="128">
        <f t="shared" si="168"/>
        <v>0.8690130477575826</v>
      </c>
      <c r="L214" s="128">
        <f t="shared" si="169"/>
        <v>0.8663114090497442</v>
      </c>
      <c r="M214" s="155">
        <f t="shared" si="170"/>
        <v>4.472887104715096</v>
      </c>
      <c r="N214" s="130">
        <f t="shared" si="171"/>
        <v>8.103437302549608</v>
      </c>
      <c r="O214" s="130">
        <f t="shared" si="172"/>
        <v>93.0786018389322</v>
      </c>
      <c r="P214" s="130">
        <f t="shared" si="162"/>
        <v>7.635887432785066</v>
      </c>
      <c r="Q214" s="130">
        <f t="shared" si="173"/>
        <v>91.93115271972106</v>
      </c>
      <c r="R214" s="129">
        <f aca="true" t="shared" si="197" ref="R214:R277">IF(A214&gt;0,IF(B215&gt;0,(((P213+P214)/2)-((P215+P214)/2))*V214,((P213+P214)/2)*V214),"")</f>
        <v>4833.575149236278</v>
      </c>
      <c r="S214" s="130">
        <f t="shared" si="174"/>
        <v>4.166666666666667</v>
      </c>
      <c r="T214" s="130">
        <f t="shared" si="175"/>
        <v>6.6</v>
      </c>
      <c r="U214" s="134">
        <f aca="true" t="shared" si="198" ref="U214:U277">IF(A214&gt;0,$AI$7/16,"")</f>
        <v>2.68125</v>
      </c>
      <c r="V214" s="130">
        <f t="shared" si="176"/>
        <v>19887</v>
      </c>
      <c r="W214" s="130">
        <f t="shared" si="177"/>
        <v>19.17</v>
      </c>
      <c r="X214" s="130">
        <f t="shared" si="178"/>
        <v>80.60522531315912</v>
      </c>
      <c r="Y214" s="130">
        <f t="shared" si="179"/>
        <v>21.380696369538228</v>
      </c>
      <c r="Z214" s="130">
        <f t="shared" si="180"/>
        <v>6.608501542871508</v>
      </c>
      <c r="AA214" s="130">
        <f t="shared" si="181"/>
        <v>21.761808259319512</v>
      </c>
      <c r="AB214" s="130">
        <f t="shared" si="182"/>
        <v>0.02312341607823143</v>
      </c>
      <c r="AC214" s="130">
        <f t="shared" si="183"/>
        <v>0.6575459035157151</v>
      </c>
      <c r="AD214" s="130">
        <f t="shared" si="184"/>
        <v>41.73302487384944</v>
      </c>
      <c r="AE214" s="130">
        <f t="shared" si="185"/>
        <v>-12.345183733906174</v>
      </c>
      <c r="AF214" s="130">
        <f t="shared" si="186"/>
        <v>0.10785578880712647</v>
      </c>
      <c r="AG214" s="130">
        <f t="shared" si="187"/>
        <v>0.035166238515968166</v>
      </c>
      <c r="AH214" s="130">
        <f t="shared" si="188"/>
        <v>122.58494027897581</v>
      </c>
      <c r="AI214" s="130">
        <f t="shared" si="189"/>
        <v>33.095496668696704</v>
      </c>
      <c r="AJ214" s="130">
        <f t="shared" si="190"/>
        <v>13.175906470369913</v>
      </c>
      <c r="AK214" s="130">
        <f aca="true" t="shared" si="199" ref="AK214:AK277">IF(A214&gt;0,H214+273.15,"")</f>
        <v>387.72883199055985</v>
      </c>
      <c r="AL214" s="130">
        <f t="shared" si="191"/>
        <v>3460.4521038196285</v>
      </c>
      <c r="AM214" s="130">
        <f t="shared" si="192"/>
        <v>2616.509896915758</v>
      </c>
      <c r="AN214" s="130">
        <f t="shared" si="193"/>
        <v>2547.378356610383</v>
      </c>
      <c r="AO214" s="130">
        <f t="shared" si="194"/>
        <v>2518.5106711430167</v>
      </c>
      <c r="AP214" s="130">
        <f t="shared" si="195"/>
        <v>3304.343283523783</v>
      </c>
      <c r="AQ214" s="130">
        <f t="shared" si="196"/>
        <v>3049.3033112301496</v>
      </c>
      <c r="AR214" s="130">
        <f aca="true" t="shared" si="200" ref="AR214:AR277">IF(A214&gt;0,I214+273.15,"")</f>
        <v>300.15416141086155</v>
      </c>
      <c r="AS214" s="130">
        <f aca="true" t="shared" si="201" ref="AS214:AS277">IF(A214&gt;0,0.001*AD214*(AL214),"")</f>
        <v>144.41513372346918</v>
      </c>
      <c r="AT214" s="130">
        <f aca="true" t="shared" si="202" ref="AT214:AT277">IF(A214&gt;0,0.001*AE214*(AM214),"")</f>
        <v>-32.30129541900894</v>
      </c>
      <c r="AU214" s="130">
        <f aca="true" t="shared" si="203" ref="AU214:AU277">IF(A214&gt;0,0.001*AF214*(AN214+282993),"")</f>
        <v>30.797182743937555</v>
      </c>
      <c r="AV214" s="130">
        <f aca="true" t="shared" si="204" ref="AV214:AV277">IF(A214&gt;0,0.001*AH214*(AO214),"")</f>
        <v>308.73148021402994</v>
      </c>
      <c r="AW214" s="130">
        <f aca="true" t="shared" si="205" ref="AW214:AW277">IF(A214&gt;0,0.001*AG214*(AP214+890156),"")</f>
        <v>31.419639536467194</v>
      </c>
      <c r="AX214" s="130">
        <f aca="true" t="shared" si="206" ref="AX214:AX277">IF(A214&gt;0,0.001*AI214*(AQ214+43969),"")</f>
        <v>1556.0941006045887</v>
      </c>
      <c r="AY214" s="130">
        <f aca="true" t="shared" si="207" ref="AY214:AY277">IF(A214&gt;0,0.001*AJ214*(AQ214+43969),"")</f>
        <v>619.5087668242525</v>
      </c>
      <c r="AZ214" s="130">
        <f aca="true" t="shared" si="208" ref="AZ214:AZ277">IF(A214&gt;0,SUM(AS214:AY214),"")</f>
        <v>2658.665008227736</v>
      </c>
      <c r="BA214" s="130">
        <f aca="true" t="shared" si="209" ref="BA214:BA277">IF(A214&gt;0,IF(B215&gt;0,(((P213+P214)/2)-((P214+P215)/2))*AZ214,((P213+P214)/2)*AZ214),"")</f>
        <v>646.1938509535701</v>
      </c>
      <c r="BB214" s="130">
        <f aca="true" t="shared" si="210" ref="BB214:BB277">IF(A214&gt;0,55.6344*BG214+10.1069*BF214,"")</f>
        <v>15.026859165625293</v>
      </c>
      <c r="BC214" s="130">
        <f aca="true" t="shared" si="211" ref="BC214:BC277">IF(A214&gt;0,BA214-BB214,"")</f>
        <v>631.1669917879448</v>
      </c>
      <c r="BD214" s="129">
        <f aca="true" t="shared" si="212" ref="BD214:BD277">IF(A214&gt;0,+R214-BA214,"")</f>
        <v>4187.381298282708</v>
      </c>
      <c r="BE214" s="129">
        <f t="shared" si="163"/>
        <v>0.059818881489030806</v>
      </c>
      <c r="BF214" s="130">
        <f aca="true" t="shared" si="213" ref="BF214:BF277">IF(A214&gt;0,IF(B215&gt;0,(((P213+P214)/2)-((P214+P215)/2))*28*AF214,((P213+P214)/2)*28*AF214),"")</f>
        <v>0.7340078289044741</v>
      </c>
      <c r="BG214" s="137">
        <f aca="true" t="shared" si="214" ref="BG214:BG277">IF(A214&gt;0,IF(B215&gt;0,(((P213+P214)/2)-((P214+P215)/2))*16*AG214,((P213+P214)/2)*16*AG214),"")</f>
        <v>0.1367555943745356</v>
      </c>
      <c r="BH214" s="47"/>
      <c r="BI214" s="47"/>
      <c r="BJ214" s="47"/>
    </row>
    <row r="215" spans="1:62" ht="16.5" thickBot="1">
      <c r="A215" s="108">
        <f>IF(Data!A215&gt;0,Data!A215,"")</f>
        <v>195</v>
      </c>
      <c r="B215" s="109">
        <f>IF(A215&gt;0,IF(Data!$F$5="lb",Data!B215/2.204,Data!B215),"")</f>
        <v>7.585954752678014</v>
      </c>
      <c r="C215" s="109">
        <f>IF(A215&gt;0,Data!C215,"")</f>
        <v>0.07092013210058212</v>
      </c>
      <c r="D215" s="110">
        <f>IF(A215&gt;0,Data!D215,"")</f>
        <v>27.44159507751465</v>
      </c>
      <c r="E215" s="143">
        <f t="shared" si="164"/>
        <v>-0.2802445016899705</v>
      </c>
      <c r="F215" s="144">
        <f t="shared" si="165"/>
        <v>19.35930223775649</v>
      </c>
      <c r="G215" s="145">
        <f t="shared" si="166"/>
        <v>-8.117752905808448</v>
      </c>
      <c r="H215" s="111">
        <f>IF(A215&gt;0,IF(Data!$F$4="F",(Data!F215-32)/1.8,Data!F215),"")</f>
        <v>114.96090359157986</v>
      </c>
      <c r="I215" s="123">
        <f>IF(A215&gt;0,IF(Data!$F$4="F",(Data!G215-32)/1.8,Data!G215),"")</f>
        <v>27.036378648546005</v>
      </c>
      <c r="J215" s="136">
        <f t="shared" si="167"/>
        <v>0.9968911410831484</v>
      </c>
      <c r="K215" s="128">
        <f t="shared" si="168"/>
        <v>0.8688979353974782</v>
      </c>
      <c r="L215" s="128">
        <f t="shared" si="169"/>
        <v>0.8661966543031835</v>
      </c>
      <c r="M215" s="155">
        <f t="shared" si="170"/>
        <v>4.472852722254059</v>
      </c>
      <c r="N215" s="130">
        <f t="shared" si="171"/>
        <v>7.585954752678014</v>
      </c>
      <c r="O215" s="130">
        <f t="shared" si="172"/>
        <v>93.52059980045638</v>
      </c>
      <c r="P215" s="130">
        <f t="shared" si="162"/>
        <v>7.150750968270938</v>
      </c>
      <c r="Q215" s="130">
        <f t="shared" si="173"/>
        <v>92.44379674135132</v>
      </c>
      <c r="R215" s="129">
        <f t="shared" si="197"/>
        <v>4795.06318412108</v>
      </c>
      <c r="S215" s="130">
        <f t="shared" si="174"/>
        <v>4.166666666666667</v>
      </c>
      <c r="T215" s="130">
        <f t="shared" si="175"/>
        <v>6.6</v>
      </c>
      <c r="U215" s="134">
        <f t="shared" si="198"/>
        <v>2.68125</v>
      </c>
      <c r="V215" s="130">
        <f t="shared" si="176"/>
        <v>19887</v>
      </c>
      <c r="W215" s="130">
        <f t="shared" si="177"/>
        <v>19.17</v>
      </c>
      <c r="X215" s="130">
        <f t="shared" si="178"/>
        <v>80.60523769619321</v>
      </c>
      <c r="Y215" s="130">
        <f t="shared" si="179"/>
        <v>21.380699654162655</v>
      </c>
      <c r="Z215" s="130">
        <f t="shared" si="180"/>
        <v>6.608553357137647</v>
      </c>
      <c r="AA215" s="130">
        <f t="shared" si="181"/>
        <v>21.76197852163763</v>
      </c>
      <c r="AB215" s="130">
        <f t="shared" si="182"/>
        <v>0.02312377845830227</v>
      </c>
      <c r="AC215" s="130">
        <f t="shared" si="183"/>
        <v>0.657551059035196</v>
      </c>
      <c r="AD215" s="130">
        <f t="shared" si="184"/>
        <v>41.733025444105955</v>
      </c>
      <c r="AE215" s="130">
        <f t="shared" si="185"/>
        <v>-12.345433551151713</v>
      </c>
      <c r="AF215" s="130">
        <f t="shared" si="186"/>
        <v>0.10785494316538857</v>
      </c>
      <c r="AG215" s="130">
        <f t="shared" si="187"/>
        <v>0.03516651390118824</v>
      </c>
      <c r="AH215" s="130">
        <f t="shared" si="188"/>
        <v>122.58399798559027</v>
      </c>
      <c r="AI215" s="130">
        <f t="shared" si="189"/>
        <v>33.09549611792626</v>
      </c>
      <c r="AJ215" s="130">
        <f t="shared" si="190"/>
        <v>13.175906470369913</v>
      </c>
      <c r="AK215" s="130">
        <f t="shared" si="199"/>
        <v>388.1109035915798</v>
      </c>
      <c r="AL215" s="130">
        <f t="shared" si="191"/>
        <v>3474.804534445111</v>
      </c>
      <c r="AM215" s="130">
        <f t="shared" si="192"/>
        <v>2627.1265790467814</v>
      </c>
      <c r="AN215" s="130">
        <f t="shared" si="193"/>
        <v>2557.6569388722087</v>
      </c>
      <c r="AO215" s="130">
        <f t="shared" si="194"/>
        <v>2528.684856970906</v>
      </c>
      <c r="AP215" s="130">
        <f t="shared" si="195"/>
        <v>3318.563823918019</v>
      </c>
      <c r="AQ215" s="130">
        <f t="shared" si="196"/>
        <v>3061.5888680506996</v>
      </c>
      <c r="AR215" s="130">
        <f t="shared" si="200"/>
        <v>300.186378648546</v>
      </c>
      <c r="AS215" s="130">
        <f t="shared" si="201"/>
        <v>145.01410604929256</v>
      </c>
      <c r="AT215" s="130">
        <f t="shared" si="202"/>
        <v>-32.433016612086554</v>
      </c>
      <c r="AU215" s="130">
        <f t="shared" si="203"/>
        <v>30.79804987498143</v>
      </c>
      <c r="AV215" s="130">
        <f t="shared" si="204"/>
        <v>309.9762994131142</v>
      </c>
      <c r="AW215" s="130">
        <f t="shared" si="205"/>
        <v>31.420385669071912</v>
      </c>
      <c r="AX215" s="130">
        <f t="shared" si="206"/>
        <v>1556.5006713063578</v>
      </c>
      <c r="AY215" s="130">
        <f t="shared" si="207"/>
        <v>619.6706401718565</v>
      </c>
      <c r="AZ215" s="130">
        <f t="shared" si="208"/>
        <v>2660.9471358725878</v>
      </c>
      <c r="BA215" s="130">
        <f t="shared" si="209"/>
        <v>641.59549686303</v>
      </c>
      <c r="BB215" s="130">
        <f t="shared" si="210"/>
        <v>14.907132654455511</v>
      </c>
      <c r="BC215" s="130">
        <f t="shared" si="211"/>
        <v>626.6883642085745</v>
      </c>
      <c r="BD215" s="129">
        <f t="shared" si="212"/>
        <v>4153.467687258049</v>
      </c>
      <c r="BE215" s="129">
        <f t="shared" si="163"/>
        <v>29.993987518826522</v>
      </c>
      <c r="BF215" s="130">
        <f t="shared" si="213"/>
        <v>0.728153843291554</v>
      </c>
      <c r="BG215" s="137">
        <f t="shared" si="214"/>
        <v>0.13566704369404728</v>
      </c>
      <c r="BH215" s="47"/>
      <c r="BI215" s="47"/>
      <c r="BJ215" s="47"/>
    </row>
    <row r="216" spans="1:62" ht="16.5" thickBot="1">
      <c r="A216" s="108">
        <f>IF(Data!A216&gt;0,Data!A216,"")</f>
        <v>196</v>
      </c>
      <c r="B216" s="109">
        <f>IF(A216&gt;0,IF(Data!$F$5="lb",Data!B216/2.204,Data!B216),"")</f>
        <v>7.589052896101547</v>
      </c>
      <c r="C216" s="109">
        <f>IF(A216&gt;0,Data!C216,"")</f>
        <v>0.07093232870101929</v>
      </c>
      <c r="D216" s="110">
        <f>IF(A216&gt;0,Data!D216,"")</f>
        <v>27.44137954711914</v>
      </c>
      <c r="E216" s="143">
        <f t="shared" si="164"/>
        <v>-0.2802391822308987</v>
      </c>
      <c r="F216" s="144">
        <f t="shared" si="165"/>
        <v>19.359313920049896</v>
      </c>
      <c r="G216" s="145">
        <f t="shared" si="166"/>
        <v>-8.117531791419754</v>
      </c>
      <c r="H216" s="111">
        <f>IF(A216&gt;0,IF(Data!$F$4="F",(Data!F216-32)/1.8,Data!F216),"")</f>
        <v>115.21127488878038</v>
      </c>
      <c r="I216" s="123">
        <f>IF(A216&gt;0,IF(Data!$F$4="F",(Data!G216-32)/1.8,Data!G216),"")</f>
        <v>26.954447428385414</v>
      </c>
      <c r="J216" s="136">
        <f t="shared" si="167"/>
        <v>0.9968907586639547</v>
      </c>
      <c r="K216" s="128">
        <f t="shared" si="168"/>
        <v>0.868789319960816</v>
      </c>
      <c r="L216" s="128">
        <f t="shared" si="169"/>
        <v>0.8660880442948792</v>
      </c>
      <c r="M216" s="155">
        <f t="shared" si="170"/>
        <v>4.472884536799813</v>
      </c>
      <c r="N216" s="130">
        <f t="shared" si="171"/>
        <v>7.589052896101547</v>
      </c>
      <c r="O216" s="130">
        <f t="shared" si="172"/>
        <v>93.51795357967454</v>
      </c>
      <c r="P216" s="130">
        <f t="shared" si="162"/>
        <v>7.153656509657285</v>
      </c>
      <c r="Q216" s="130">
        <f t="shared" si="173"/>
        <v>92.4407264538544</v>
      </c>
      <c r="R216" s="129">
        <f t="shared" si="197"/>
        <v>3982.490454694919</v>
      </c>
      <c r="S216" s="130">
        <f t="shared" si="174"/>
        <v>4.166666666666667</v>
      </c>
      <c r="T216" s="130">
        <f t="shared" si="175"/>
        <v>6.6</v>
      </c>
      <c r="U216" s="134">
        <f t="shared" si="198"/>
        <v>2.68125</v>
      </c>
      <c r="V216" s="130">
        <f t="shared" si="176"/>
        <v>19887</v>
      </c>
      <c r="W216" s="130">
        <f t="shared" si="177"/>
        <v>19.17</v>
      </c>
      <c r="X216" s="130">
        <f t="shared" si="178"/>
        <v>80.60521991559959</v>
      </c>
      <c r="Y216" s="130">
        <f t="shared" si="179"/>
        <v>21.380694937824824</v>
      </c>
      <c r="Z216" s="130">
        <f t="shared" si="180"/>
        <v>6.6085048943352485</v>
      </c>
      <c r="AA216" s="130">
        <f t="shared" si="181"/>
        <v>21.76181578348623</v>
      </c>
      <c r="AB216" s="130">
        <f t="shared" si="182"/>
        <v>0.023125183910043035</v>
      </c>
      <c r="AC216" s="130">
        <f t="shared" si="183"/>
        <v>0.6575462369863573</v>
      </c>
      <c r="AD216" s="130">
        <f t="shared" si="184"/>
        <v>41.73300370919542</v>
      </c>
      <c r="AE216" s="130">
        <f t="shared" si="185"/>
        <v>-12.345187813139558</v>
      </c>
      <c r="AF216" s="130">
        <f t="shared" si="186"/>
        <v>0.10787428276696379</v>
      </c>
      <c r="AG216" s="130">
        <f t="shared" si="187"/>
        <v>0.035168909210140965</v>
      </c>
      <c r="AH216" s="130">
        <f t="shared" si="188"/>
        <v>122.58486990211759</v>
      </c>
      <c r="AI216" s="130">
        <f t="shared" si="189"/>
        <v>33.09549132730835</v>
      </c>
      <c r="AJ216" s="130">
        <f t="shared" si="190"/>
        <v>13.175906470369913</v>
      </c>
      <c r="AK216" s="130">
        <f t="shared" si="199"/>
        <v>388.3612748887804</v>
      </c>
      <c r="AL216" s="130">
        <f t="shared" si="191"/>
        <v>3488.1527899507305</v>
      </c>
      <c r="AM216" s="130">
        <f t="shared" si="192"/>
        <v>2637.122455145538</v>
      </c>
      <c r="AN216" s="130">
        <f t="shared" si="193"/>
        <v>2567.3649887866864</v>
      </c>
      <c r="AO216" s="130">
        <f t="shared" si="194"/>
        <v>2538.2878694079977</v>
      </c>
      <c r="AP216" s="130">
        <f t="shared" si="195"/>
        <v>3331.522273095339</v>
      </c>
      <c r="AQ216" s="130">
        <f t="shared" si="196"/>
        <v>3073.202224851904</v>
      </c>
      <c r="AR216" s="130">
        <f t="shared" si="200"/>
        <v>300.1044474283854</v>
      </c>
      <c r="AS216" s="130">
        <f t="shared" si="201"/>
        <v>145.5710933212542</v>
      </c>
      <c r="AT216" s="130">
        <f t="shared" si="202"/>
        <v>-32.55577199501936</v>
      </c>
      <c r="AU216" s="130">
        <f t="shared" si="203"/>
        <v>30.804619559837764</v>
      </c>
      <c r="AV216" s="130">
        <f t="shared" si="204"/>
        <v>311.15568824550263</v>
      </c>
      <c r="AW216" s="130">
        <f t="shared" si="205"/>
        <v>31.422981551216292</v>
      </c>
      <c r="AX216" s="130">
        <f t="shared" si="206"/>
        <v>1556.8847957500718</v>
      </c>
      <c r="AY216" s="130">
        <f t="shared" si="207"/>
        <v>619.8236566748762</v>
      </c>
      <c r="AZ216" s="130">
        <f t="shared" si="208"/>
        <v>2663.1070631077396</v>
      </c>
      <c r="BA216" s="130">
        <f t="shared" si="209"/>
        <v>533.3030853651728</v>
      </c>
      <c r="BB216" s="130">
        <f t="shared" si="210"/>
        <v>12.382488823046888</v>
      </c>
      <c r="BC216" s="130">
        <f t="shared" si="211"/>
        <v>520.920596542126</v>
      </c>
      <c r="BD216" s="129">
        <f t="shared" si="212"/>
        <v>3449.1873693297466</v>
      </c>
      <c r="BE216" s="129">
        <f t="shared" si="163"/>
        <v>-0.17965974232027182</v>
      </c>
      <c r="BF216" s="130">
        <f t="shared" si="213"/>
        <v>0.6048691325962603</v>
      </c>
      <c r="BG216" s="137">
        <f t="shared" si="214"/>
        <v>0.11268454385793221</v>
      </c>
      <c r="BH216" s="47"/>
      <c r="BI216" s="47"/>
      <c r="BJ216" s="47"/>
    </row>
    <row r="217" spans="1:62" ht="16.5" thickBot="1">
      <c r="A217" s="108">
        <f>IF(Data!A217&gt;0,Data!A217,"")</f>
        <v>197</v>
      </c>
      <c r="B217" s="109">
        <f>IF(A217&gt;0,IF(Data!$F$5="lb",Data!B217/2.204,Data!B217),"")</f>
        <v>7.159022367584726</v>
      </c>
      <c r="C217" s="109">
        <f>IF(A217&gt;0,Data!C217,"")</f>
        <v>0.07092013210058212</v>
      </c>
      <c r="D217" s="110">
        <f>IF(A217&gt;0,Data!D217,"")</f>
        <v>27.441349029541016</v>
      </c>
      <c r="E217" s="143">
        <f t="shared" si="164"/>
        <v>-0.28023806476610824</v>
      </c>
      <c r="F217" s="144">
        <f t="shared" si="165"/>
        <v>19.359316374140548</v>
      </c>
      <c r="G217" s="145">
        <f t="shared" si="166"/>
        <v>-8.117492721450759</v>
      </c>
      <c r="H217" s="111">
        <f>IF(A217&gt;0,IF(Data!$F$4="F",(Data!F217-32)/1.8,Data!F217),"")</f>
        <v>115.21471659342447</v>
      </c>
      <c r="I217" s="123">
        <f>IF(A217&gt;0,IF(Data!$F$4="F",(Data!G217-32)/1.8,Data!G217),"")</f>
        <v>26.731046040852863</v>
      </c>
      <c r="J217" s="136">
        <f t="shared" si="167"/>
        <v>0.9968911414175331</v>
      </c>
      <c r="K217" s="128">
        <f t="shared" si="168"/>
        <v>0.8687168893078072</v>
      </c>
      <c r="L217" s="128">
        <f t="shared" si="169"/>
        <v>0.8660161713507486</v>
      </c>
      <c r="M217" s="155">
        <f t="shared" si="170"/>
        <v>4.472891973071738</v>
      </c>
      <c r="N217" s="130">
        <f t="shared" si="171"/>
        <v>7.159022367584726</v>
      </c>
      <c r="O217" s="130">
        <f t="shared" si="172"/>
        <v>93.88525604628866</v>
      </c>
      <c r="P217" s="130">
        <f t="shared" si="162"/>
        <v>6.750239030352204</v>
      </c>
      <c r="Q217" s="130">
        <f t="shared" si="173"/>
        <v>92.86701796998278</v>
      </c>
      <c r="R217" s="129">
        <f t="shared" si="197"/>
        <v>4030.652771262647</v>
      </c>
      <c r="S217" s="130">
        <f t="shared" si="174"/>
        <v>4.166666666666667</v>
      </c>
      <c r="T217" s="130">
        <f t="shared" si="175"/>
        <v>6.6</v>
      </c>
      <c r="U217" s="134">
        <f t="shared" si="198"/>
        <v>2.68125</v>
      </c>
      <c r="V217" s="130">
        <f t="shared" si="176"/>
        <v>19887</v>
      </c>
      <c r="W217" s="130">
        <f t="shared" si="177"/>
        <v>19.17</v>
      </c>
      <c r="X217" s="130">
        <f t="shared" si="178"/>
        <v>80.60522355980916</v>
      </c>
      <c r="Y217" s="130">
        <f t="shared" si="179"/>
        <v>21.380695904458662</v>
      </c>
      <c r="Z217" s="130">
        <f t="shared" si="180"/>
        <v>6.608494206338251</v>
      </c>
      <c r="AA217" s="130">
        <f t="shared" si="181"/>
        <v>21.76178415138066</v>
      </c>
      <c r="AB217" s="130">
        <f t="shared" si="182"/>
        <v>0.023123364767783983</v>
      </c>
      <c r="AC217" s="130">
        <f t="shared" si="183"/>
        <v>0.6575451735306559</v>
      </c>
      <c r="AD217" s="130">
        <f t="shared" si="184"/>
        <v>41.73302479310443</v>
      </c>
      <c r="AE217" s="130">
        <f t="shared" si="185"/>
        <v>-12.345148361236214</v>
      </c>
      <c r="AF217" s="130">
        <f t="shared" si="186"/>
        <v>0.10785590854508144</v>
      </c>
      <c r="AG217" s="130">
        <f t="shared" si="187"/>
        <v>0.03516619952302932</v>
      </c>
      <c r="AH217" s="130">
        <f t="shared" si="188"/>
        <v>122.58507370224231</v>
      </c>
      <c r="AI217" s="130">
        <f t="shared" si="189"/>
        <v>33.095496746682585</v>
      </c>
      <c r="AJ217" s="130">
        <f t="shared" si="190"/>
        <v>13.175906470369913</v>
      </c>
      <c r="AK217" s="130">
        <f t="shared" si="199"/>
        <v>388.3647165934244</v>
      </c>
      <c r="AL217" s="130">
        <f t="shared" si="191"/>
        <v>3496.8360422649193</v>
      </c>
      <c r="AM217" s="130">
        <f t="shared" si="192"/>
        <v>2643.812965679579</v>
      </c>
      <c r="AN217" s="130">
        <f t="shared" si="193"/>
        <v>2573.909291245327</v>
      </c>
      <c r="AO217" s="130">
        <f t="shared" si="194"/>
        <v>2544.7515972251895</v>
      </c>
      <c r="AP217" s="130">
        <f t="shared" si="195"/>
        <v>3339.540195740324</v>
      </c>
      <c r="AQ217" s="130">
        <f t="shared" si="196"/>
        <v>3081.0456879493345</v>
      </c>
      <c r="AR217" s="130">
        <f t="shared" si="200"/>
        <v>299.8810460408528</v>
      </c>
      <c r="AS217" s="130">
        <f t="shared" si="201"/>
        <v>145.93354524926306</v>
      </c>
      <c r="AT217" s="130">
        <f t="shared" si="202"/>
        <v>-32.63826330067431</v>
      </c>
      <c r="AU217" s="130">
        <f t="shared" si="203"/>
        <v>30.800078452018123</v>
      </c>
      <c r="AV217" s="130">
        <f t="shared" si="204"/>
        <v>311.9485620997487</v>
      </c>
      <c r="AW217" s="130">
        <f t="shared" si="205"/>
        <v>31.420842439460273</v>
      </c>
      <c r="AX217" s="130">
        <f t="shared" si="206"/>
        <v>1557.1446339967943</v>
      </c>
      <c r="AY217" s="130">
        <f t="shared" si="207"/>
        <v>619.9270014110517</v>
      </c>
      <c r="AZ217" s="130">
        <f t="shared" si="208"/>
        <v>2664.5364003476616</v>
      </c>
      <c r="BA217" s="130">
        <f t="shared" si="209"/>
        <v>540.0422902494846</v>
      </c>
      <c r="BB217" s="130">
        <f t="shared" si="210"/>
        <v>12.530693919404744</v>
      </c>
      <c r="BC217" s="130">
        <f t="shared" si="211"/>
        <v>527.5115963300799</v>
      </c>
      <c r="BD217" s="129">
        <f t="shared" si="212"/>
        <v>3490.6104810131624</v>
      </c>
      <c r="BE217" s="129">
        <f t="shared" si="163"/>
        <v>24.941636885202975</v>
      </c>
      <c r="BF217" s="130">
        <f t="shared" si="213"/>
        <v>0.6120798545220459</v>
      </c>
      <c r="BG217" s="137">
        <f t="shared" si="214"/>
        <v>0.11403850922695093</v>
      </c>
      <c r="BH217" s="47"/>
      <c r="BI217" s="47"/>
      <c r="BJ217" s="47"/>
    </row>
    <row r="218" spans="1:62" ht="16.5" thickBot="1">
      <c r="A218" s="108">
        <f>IF(Data!A218&gt;0,Data!A218,"")</f>
        <v>198</v>
      </c>
      <c r="B218" s="109">
        <f>IF(A218&gt;0,IF(Data!$F$5="lb",Data!B218/2.204,Data!B218),"")</f>
        <v>7.156957082869569</v>
      </c>
      <c r="C218" s="109">
        <f>IF(A218&gt;0,Data!C218,"")</f>
        <v>0.07090794295072556</v>
      </c>
      <c r="D218" s="110">
        <f>IF(A218&gt;0,Data!D218,"")</f>
        <v>27.44168472290039</v>
      </c>
      <c r="E218" s="143">
        <f t="shared" si="164"/>
        <v>-0.2802465280185079</v>
      </c>
      <c r="F218" s="144">
        <f t="shared" si="165"/>
        <v>19.359297787603616</v>
      </c>
      <c r="G218" s="145">
        <f t="shared" si="166"/>
        <v>-8.117840906772138</v>
      </c>
      <c r="H218" s="111">
        <f>IF(A218&gt;0,IF(Data!$F$4="F",(Data!F218-32)/1.8,Data!F218),"")</f>
        <v>115.41510687934027</v>
      </c>
      <c r="I218" s="123">
        <f>IF(A218&gt;0,IF(Data!$F$4="F",(Data!G218-32)/1.8,Data!G218),"")</f>
        <v>26.619830661349827</v>
      </c>
      <c r="J218" s="136">
        <f t="shared" si="167"/>
        <v>0.9968915234357765</v>
      </c>
      <c r="K218" s="128">
        <f t="shared" si="168"/>
        <v>0.8686158031248299</v>
      </c>
      <c r="L218" s="128">
        <f t="shared" si="169"/>
        <v>0.8659157312575022</v>
      </c>
      <c r="M218" s="155">
        <f t="shared" si="170"/>
        <v>4.47284098803923</v>
      </c>
      <c r="N218" s="130">
        <f t="shared" si="171"/>
        <v>7.156957082869569</v>
      </c>
      <c r="O218" s="130">
        <f t="shared" si="172"/>
        <v>93.88702007028193</v>
      </c>
      <c r="P218" s="130">
        <f t="shared" si="162"/>
        <v>6.748300973753163</v>
      </c>
      <c r="Q218" s="130">
        <f t="shared" si="173"/>
        <v>92.86906591566766</v>
      </c>
      <c r="R218" s="129">
        <f t="shared" si="197"/>
        <v>4245.233811376338</v>
      </c>
      <c r="S218" s="130">
        <f t="shared" si="174"/>
        <v>4.166666666666667</v>
      </c>
      <c r="T218" s="130">
        <f t="shared" si="175"/>
        <v>6.6</v>
      </c>
      <c r="U218" s="134">
        <f t="shared" si="198"/>
        <v>2.68125</v>
      </c>
      <c r="V218" s="130">
        <f t="shared" si="176"/>
        <v>19887</v>
      </c>
      <c r="W218" s="130">
        <f t="shared" si="177"/>
        <v>19.17</v>
      </c>
      <c r="X218" s="130">
        <f t="shared" si="178"/>
        <v>80.60524824092101</v>
      </c>
      <c r="Y218" s="130">
        <f t="shared" si="179"/>
        <v>21.380702451172684</v>
      </c>
      <c r="Z218" s="130">
        <f t="shared" si="180"/>
        <v>6.608571558787676</v>
      </c>
      <c r="AA218" s="130">
        <f t="shared" si="181"/>
        <v>21.76204181913759</v>
      </c>
      <c r="AB218" s="130">
        <f t="shared" si="182"/>
        <v>0.02312216243086951</v>
      </c>
      <c r="AC218" s="130">
        <f t="shared" si="183"/>
        <v>0.6575528700993738</v>
      </c>
      <c r="AD218" s="130">
        <f t="shared" si="184"/>
        <v>41.733046832801776</v>
      </c>
      <c r="AE218" s="130">
        <f t="shared" si="185"/>
        <v>-12.34553337976506</v>
      </c>
      <c r="AF218" s="130">
        <f t="shared" si="186"/>
        <v>0.10783610896567065</v>
      </c>
      <c r="AG218" s="130">
        <f t="shared" si="187"/>
        <v>0.035163959405081956</v>
      </c>
      <c r="AH218" s="130">
        <f t="shared" si="188"/>
        <v>122.58367639508502</v>
      </c>
      <c r="AI218" s="130">
        <f t="shared" si="189"/>
        <v>33.09550122691847</v>
      </c>
      <c r="AJ218" s="130">
        <f t="shared" si="190"/>
        <v>13.175906470369913</v>
      </c>
      <c r="AK218" s="130">
        <f t="shared" si="199"/>
        <v>388.56510687934025</v>
      </c>
      <c r="AL218" s="130">
        <f t="shared" si="191"/>
        <v>3509.2653776660086</v>
      </c>
      <c r="AM218" s="130">
        <f t="shared" si="192"/>
        <v>2653.159096762604</v>
      </c>
      <c r="AN218" s="130">
        <f t="shared" si="193"/>
        <v>2582.995787179428</v>
      </c>
      <c r="AO218" s="130">
        <f t="shared" si="194"/>
        <v>2553.737786399411</v>
      </c>
      <c r="AP218" s="130">
        <f t="shared" si="195"/>
        <v>3351.5224924862264</v>
      </c>
      <c r="AQ218" s="130">
        <f t="shared" si="196"/>
        <v>3091.9185203387906</v>
      </c>
      <c r="AR218" s="130">
        <f t="shared" si="200"/>
        <v>299.76983066134983</v>
      </c>
      <c r="AS218" s="130">
        <f t="shared" si="201"/>
        <v>146.45233635486534</v>
      </c>
      <c r="AT218" s="130">
        <f t="shared" si="202"/>
        <v>-32.75466419091004</v>
      </c>
      <c r="AU218" s="130">
        <f t="shared" si="203"/>
        <v>30.79540419968619</v>
      </c>
      <c r="AV218" s="130">
        <f t="shared" si="204"/>
        <v>313.04656640588615</v>
      </c>
      <c r="AW218" s="130">
        <f t="shared" si="205"/>
        <v>31.419262249061138</v>
      </c>
      <c r="AX218" s="130">
        <f t="shared" si="206"/>
        <v>1557.5046866297826</v>
      </c>
      <c r="AY218" s="130">
        <f t="shared" si="207"/>
        <v>620.0702608336832</v>
      </c>
      <c r="AZ218" s="130">
        <f t="shared" si="208"/>
        <v>2666.5338524820545</v>
      </c>
      <c r="BA218" s="130">
        <f t="shared" si="209"/>
        <v>569.2190712393233</v>
      </c>
      <c r="BB218" s="130">
        <f t="shared" si="210"/>
        <v>13.196172380533602</v>
      </c>
      <c r="BC218" s="130">
        <f t="shared" si="211"/>
        <v>556.0228988587896</v>
      </c>
      <c r="BD218" s="129">
        <f t="shared" si="212"/>
        <v>3676.014740137015</v>
      </c>
      <c r="BE218" s="129">
        <f t="shared" si="163"/>
        <v>0.11980731276758906</v>
      </c>
      <c r="BF218" s="130">
        <f t="shared" si="213"/>
        <v>0.6445469846790962</v>
      </c>
      <c r="BG218" s="137">
        <f t="shared" si="214"/>
        <v>0.12010195959838599</v>
      </c>
      <c r="BH218" s="47"/>
      <c r="BI218" s="47"/>
      <c r="BJ218" s="47"/>
    </row>
    <row r="219" spans="1:62" ht="16.5" thickBot="1">
      <c r="A219" s="108">
        <f>IF(Data!A219&gt;0,Data!A219,"")</f>
        <v>199</v>
      </c>
      <c r="B219" s="109">
        <f>IF(A219&gt;0,IF(Data!$F$5="lb",Data!B219/2.204,Data!B219),"")</f>
        <v>6.704202797365275</v>
      </c>
      <c r="C219" s="109">
        <f>IF(A219&gt;0,Data!C219,"")</f>
        <v>0.07373645901679993</v>
      </c>
      <c r="D219" s="110">
        <f>IF(A219&gt;0,Data!D219,"")</f>
        <v>27.441349029541016</v>
      </c>
      <c r="E219" s="143">
        <f t="shared" si="164"/>
        <v>-0.28031173653108643</v>
      </c>
      <c r="F219" s="144">
        <f t="shared" si="165"/>
        <v>19.359154565537434</v>
      </c>
      <c r="G219" s="145">
        <f t="shared" si="166"/>
        <v>-8.119062693511982</v>
      </c>
      <c r="H219" s="111">
        <f>IF(A219&gt;0,IF(Data!$F$4="F",(Data!F219-32)/1.8,Data!F219),"")</f>
        <v>115.60191684299045</v>
      </c>
      <c r="I219" s="123">
        <f>IF(A219&gt;0,IF(Data!$F$4="F",(Data!G219-32)/1.8,Data!G219),"")</f>
        <v>26.654315524631077</v>
      </c>
      <c r="J219" s="136">
        <f t="shared" si="167"/>
        <v>0.9968027792595004</v>
      </c>
      <c r="K219" s="128">
        <f t="shared" si="168"/>
        <v>0.8685588423438216</v>
      </c>
      <c r="L219" s="128">
        <f t="shared" si="169"/>
        <v>0.8657818679987357</v>
      </c>
      <c r="M219" s="155">
        <f t="shared" si="170"/>
        <v>4.472299081569703</v>
      </c>
      <c r="N219" s="130">
        <f t="shared" si="171"/>
        <v>6.704202797365275</v>
      </c>
      <c r="O219" s="130">
        <f t="shared" si="172"/>
        <v>94.2737316054127</v>
      </c>
      <c r="P219" s="130">
        <f t="shared" si="162"/>
        <v>6.323303463260502</v>
      </c>
      <c r="Q219" s="130">
        <f t="shared" si="173"/>
        <v>93.3181610649676</v>
      </c>
      <c r="R219" s="129">
        <f t="shared" si="197"/>
        <v>8319.474054500623</v>
      </c>
      <c r="S219" s="130">
        <f t="shared" si="174"/>
        <v>4.166666666666667</v>
      </c>
      <c r="T219" s="130">
        <f t="shared" si="175"/>
        <v>6.6</v>
      </c>
      <c r="U219" s="134">
        <f t="shared" si="198"/>
        <v>2.68125</v>
      </c>
      <c r="V219" s="130">
        <f t="shared" si="176"/>
        <v>19887</v>
      </c>
      <c r="W219" s="130">
        <f t="shared" si="177"/>
        <v>19.17</v>
      </c>
      <c r="X219" s="130">
        <f t="shared" si="178"/>
        <v>80.60397720495416</v>
      </c>
      <c r="Y219" s="130">
        <f t="shared" si="179"/>
        <v>21.380365306353887</v>
      </c>
      <c r="Z219" s="130">
        <f t="shared" si="180"/>
        <v>6.609268095552717</v>
      </c>
      <c r="AA219" s="130">
        <f t="shared" si="181"/>
        <v>21.76352156283362</v>
      </c>
      <c r="AB219" s="130">
        <f t="shared" si="182"/>
        <v>0.02353157624517266</v>
      </c>
      <c r="AC219" s="130">
        <f t="shared" si="183"/>
        <v>0.6576221755074954</v>
      </c>
      <c r="AD219" s="130">
        <f t="shared" si="184"/>
        <v>41.72813821000513</v>
      </c>
      <c r="AE219" s="130">
        <f t="shared" si="185"/>
        <v>-12.346090195706065</v>
      </c>
      <c r="AF219" s="130">
        <f t="shared" si="186"/>
        <v>0.1121258706945163</v>
      </c>
      <c r="AG219" s="130">
        <f t="shared" si="187"/>
        <v>0.03578282047288482</v>
      </c>
      <c r="AH219" s="130">
        <f t="shared" si="188"/>
        <v>122.56882478567736</v>
      </c>
      <c r="AI219" s="130">
        <f t="shared" si="189"/>
        <v>33.09426350478287</v>
      </c>
      <c r="AJ219" s="130">
        <f t="shared" si="190"/>
        <v>13.175906470369913</v>
      </c>
      <c r="AK219" s="130">
        <f t="shared" si="199"/>
        <v>388.75191684299045</v>
      </c>
      <c r="AL219" s="130">
        <f t="shared" si="191"/>
        <v>3515.570808951985</v>
      </c>
      <c r="AM219" s="130">
        <f t="shared" si="192"/>
        <v>2657.7990720968814</v>
      </c>
      <c r="AN219" s="130">
        <f t="shared" si="193"/>
        <v>2587.481937686616</v>
      </c>
      <c r="AO219" s="130">
        <f t="shared" si="194"/>
        <v>2558.179650952548</v>
      </c>
      <c r="AP219" s="130">
        <f t="shared" si="195"/>
        <v>3357.8230507248068</v>
      </c>
      <c r="AQ219" s="130">
        <f t="shared" si="196"/>
        <v>3097.2786936594052</v>
      </c>
      <c r="AR219" s="130">
        <f t="shared" si="200"/>
        <v>299.8043155246311</v>
      </c>
      <c r="AS219" s="130">
        <f t="shared" si="201"/>
        <v>146.69822460300796</v>
      </c>
      <c r="AT219" s="130">
        <f t="shared" si="202"/>
        <v>-32.81342706617198</v>
      </c>
      <c r="AU219" s="130">
        <f t="shared" si="203"/>
        <v>32.020960190622695</v>
      </c>
      <c r="AV219" s="130">
        <f t="shared" si="204"/>
        <v>313.5530734078881</v>
      </c>
      <c r="AW219" s="130">
        <f t="shared" si="205"/>
        <v>31.97244472026506</v>
      </c>
      <c r="AX219" s="130">
        <f t="shared" si="206"/>
        <v>1557.6238292775122</v>
      </c>
      <c r="AY219" s="130">
        <f t="shared" si="207"/>
        <v>620.1408859760206</v>
      </c>
      <c r="AZ219" s="130">
        <f t="shared" si="208"/>
        <v>2669.1959911091444</v>
      </c>
      <c r="BA219" s="130">
        <f t="shared" si="209"/>
        <v>1116.6242668280586</v>
      </c>
      <c r="BB219" s="130">
        <f t="shared" si="210"/>
        <v>26.599120550366926</v>
      </c>
      <c r="BC219" s="130">
        <f t="shared" si="211"/>
        <v>1090.0251462776916</v>
      </c>
      <c r="BD219" s="129">
        <f t="shared" si="212"/>
        <v>7202.849787672564</v>
      </c>
      <c r="BE219" s="129">
        <f t="shared" si="163"/>
        <v>27.02267147751771</v>
      </c>
      <c r="BF219" s="130">
        <f t="shared" si="213"/>
        <v>1.313380178924773</v>
      </c>
      <c r="BG219" s="137">
        <f t="shared" si="214"/>
        <v>0.2395086209250417</v>
      </c>
      <c r="BH219" s="47"/>
      <c r="BI219" s="47"/>
      <c r="BJ219" s="47"/>
    </row>
    <row r="220" spans="1:62" ht="16.5" thickBot="1">
      <c r="A220" s="108">
        <f>IF(Data!A220&gt;0,Data!A220,"")</f>
        <v>200</v>
      </c>
      <c r="B220" s="109">
        <f>IF(A220&gt;0,IF(Data!$F$5="lb",Data!B220/2.204,Data!B220),"")</f>
        <v>6.265908966479846</v>
      </c>
      <c r="C220" s="109">
        <f>IF(A220&gt;0,Data!C220,"")</f>
        <v>0.07092013210058212</v>
      </c>
      <c r="D220" s="110">
        <f>IF(A220&gt;0,Data!D220,"")</f>
        <v>27.441349029541016</v>
      </c>
      <c r="E220" s="143">
        <f t="shared" si="164"/>
        <v>-0.28023806476610824</v>
      </c>
      <c r="F220" s="144">
        <f t="shared" si="165"/>
        <v>19.359316374140548</v>
      </c>
      <c r="G220" s="145">
        <f t="shared" si="166"/>
        <v>-8.117492721450759</v>
      </c>
      <c r="H220" s="111">
        <f>IF(A220&gt;0,IF(Data!$F$4="F",(Data!F220-32)/1.8,Data!F220),"")</f>
        <v>115.45330471462674</v>
      </c>
      <c r="I220" s="123">
        <f>IF(A220&gt;0,IF(Data!$F$4="F",(Data!G220-32)/1.8,Data!G220),"")</f>
        <v>27.126918368869358</v>
      </c>
      <c r="J220" s="136">
        <f t="shared" si="167"/>
        <v>0.9968911414175331</v>
      </c>
      <c r="K220" s="128">
        <f t="shared" si="168"/>
        <v>0.8687648310766585</v>
      </c>
      <c r="L220" s="128">
        <f t="shared" si="169"/>
        <v>0.8660639640754203</v>
      </c>
      <c r="M220" s="155">
        <f t="shared" si="170"/>
        <v>4.472891973071738</v>
      </c>
      <c r="N220" s="130">
        <f t="shared" si="171"/>
        <v>6.265908966479846</v>
      </c>
      <c r="O220" s="130">
        <f t="shared" si="172"/>
        <v>94.6480920159194</v>
      </c>
      <c r="P220" s="130">
        <f t="shared" si="162"/>
        <v>5.911626356716845</v>
      </c>
      <c r="Q220" s="130">
        <f t="shared" si="173"/>
        <v>93.75318053463994</v>
      </c>
      <c r="R220" s="129">
        <f t="shared" si="197"/>
        <v>4090.2934796217937</v>
      </c>
      <c r="S220" s="130">
        <f t="shared" si="174"/>
        <v>4.166666666666667</v>
      </c>
      <c r="T220" s="130">
        <f t="shared" si="175"/>
        <v>6.6</v>
      </c>
      <c r="U220" s="134">
        <f t="shared" si="198"/>
        <v>2.68125</v>
      </c>
      <c r="V220" s="130">
        <f t="shared" si="176"/>
        <v>19887</v>
      </c>
      <c r="W220" s="130">
        <f t="shared" si="177"/>
        <v>19.17</v>
      </c>
      <c r="X220" s="130">
        <f t="shared" si="178"/>
        <v>80.60522355980916</v>
      </c>
      <c r="Y220" s="130">
        <f t="shared" si="179"/>
        <v>21.380695904458662</v>
      </c>
      <c r="Z220" s="130">
        <f t="shared" si="180"/>
        <v>6.608494206338251</v>
      </c>
      <c r="AA220" s="130">
        <f t="shared" si="181"/>
        <v>21.76178415138066</v>
      </c>
      <c r="AB220" s="130">
        <f t="shared" si="182"/>
        <v>0.023123364767783983</v>
      </c>
      <c r="AC220" s="130">
        <f t="shared" si="183"/>
        <v>0.6575451735306559</v>
      </c>
      <c r="AD220" s="130">
        <f t="shared" si="184"/>
        <v>41.73302479310443</v>
      </c>
      <c r="AE220" s="130">
        <f t="shared" si="185"/>
        <v>-12.345148361236214</v>
      </c>
      <c r="AF220" s="130">
        <f t="shared" si="186"/>
        <v>0.10785590854508144</v>
      </c>
      <c r="AG220" s="130">
        <f t="shared" si="187"/>
        <v>0.03516619952302932</v>
      </c>
      <c r="AH220" s="130">
        <f t="shared" si="188"/>
        <v>122.58507370224231</v>
      </c>
      <c r="AI220" s="130">
        <f t="shared" si="189"/>
        <v>33.095496746682585</v>
      </c>
      <c r="AJ220" s="130">
        <f t="shared" si="190"/>
        <v>13.175906470369913</v>
      </c>
      <c r="AK220" s="130">
        <f t="shared" si="199"/>
        <v>388.6033047146267</v>
      </c>
      <c r="AL220" s="130">
        <f t="shared" si="191"/>
        <v>3491.432813239025</v>
      </c>
      <c r="AM220" s="130">
        <f t="shared" si="192"/>
        <v>2639.3656323971823</v>
      </c>
      <c r="AN220" s="130">
        <f t="shared" si="193"/>
        <v>2569.490947967529</v>
      </c>
      <c r="AO220" s="130">
        <f t="shared" si="194"/>
        <v>2540.4018951052103</v>
      </c>
      <c r="AP220" s="130">
        <f t="shared" si="195"/>
        <v>3335.1731026331663</v>
      </c>
      <c r="AQ220" s="130">
        <f t="shared" si="196"/>
        <v>3075.728686015809</v>
      </c>
      <c r="AR220" s="130">
        <f t="shared" si="200"/>
        <v>300.27691836886936</v>
      </c>
      <c r="AS220" s="130">
        <f t="shared" si="201"/>
        <v>145.7080521583626</v>
      </c>
      <c r="AT220" s="130">
        <f t="shared" si="202"/>
        <v>-32.58336031149126</v>
      </c>
      <c r="AU220" s="130">
        <f t="shared" si="203"/>
        <v>30.799601907589633</v>
      </c>
      <c r="AV220" s="130">
        <f t="shared" si="204"/>
        <v>311.4153535447882</v>
      </c>
      <c r="AW220" s="130">
        <f t="shared" si="205"/>
        <v>31.420688865392734</v>
      </c>
      <c r="AX220" s="130">
        <f t="shared" si="206"/>
        <v>1556.968665176601</v>
      </c>
      <c r="AY220" s="130">
        <f t="shared" si="207"/>
        <v>619.8569450908727</v>
      </c>
      <c r="AZ220" s="130">
        <f t="shared" si="208"/>
        <v>2663.5859464321156</v>
      </c>
      <c r="BA220" s="130">
        <f t="shared" si="209"/>
        <v>547.8376944286986</v>
      </c>
      <c r="BB220" s="130">
        <f t="shared" si="210"/>
        <v>12.716107921551806</v>
      </c>
      <c r="BC220" s="130">
        <f t="shared" si="211"/>
        <v>535.1215865071467</v>
      </c>
      <c r="BD220" s="129">
        <f t="shared" si="212"/>
        <v>3542.455785193095</v>
      </c>
      <c r="BE220" s="129">
        <f t="shared" si="163"/>
        <v>25.452295530303207</v>
      </c>
      <c r="BF220" s="130">
        <f t="shared" si="213"/>
        <v>0.621136669427147</v>
      </c>
      <c r="BG220" s="137">
        <f t="shared" si="214"/>
        <v>0.11572591269643556</v>
      </c>
      <c r="BH220" s="47"/>
      <c r="BI220" s="47"/>
      <c r="BJ220" s="47"/>
    </row>
    <row r="221" spans="1:62" ht="16.5" thickBot="1">
      <c r="A221" s="108">
        <f>IF(Data!A221&gt;0,Data!A221,"")</f>
        <v>201</v>
      </c>
      <c r="B221" s="109">
        <f>IF(A221&gt;0,IF(Data!$F$5="lb",Data!B221/2.204,Data!B221),"")</f>
        <v>6.266253396949836</v>
      </c>
      <c r="C221" s="109">
        <f>IF(A221&gt;0,Data!C221,"")</f>
        <v>0.0737486481666565</v>
      </c>
      <c r="D221" s="110">
        <f>IF(A221&gt;0,Data!D221,"")</f>
        <v>27.44162368774414</v>
      </c>
      <c r="E221" s="143">
        <f t="shared" si="164"/>
        <v>-0.28031923927067615</v>
      </c>
      <c r="F221" s="144">
        <f t="shared" si="165"/>
        <v>19.359138085075163</v>
      </c>
      <c r="G221" s="145">
        <f t="shared" si="166"/>
        <v>-8.119359926752306</v>
      </c>
      <c r="H221" s="111">
        <f>IF(A221&gt;0,IF(Data!$F$4="F",(Data!F221-32)/1.8,Data!F221),"")</f>
        <v>115.25060017903645</v>
      </c>
      <c r="I221" s="123">
        <f>IF(A221&gt;0,IF(Data!$F$4="F",(Data!G221-32)/1.8,Data!G221),"")</f>
        <v>26.72575208875868</v>
      </c>
      <c r="J221" s="136">
        <f t="shared" si="167"/>
        <v>0.9968023973836825</v>
      </c>
      <c r="K221" s="128">
        <f t="shared" si="168"/>
        <v>0.868697282019309</v>
      </c>
      <c r="L221" s="128">
        <f t="shared" si="169"/>
        <v>0.8659195333175362</v>
      </c>
      <c r="M221" s="155">
        <f t="shared" si="170"/>
        <v>4.472252712099343</v>
      </c>
      <c r="N221" s="130">
        <f t="shared" si="171"/>
        <v>6.266253396949836</v>
      </c>
      <c r="O221" s="130">
        <f t="shared" si="172"/>
        <v>94.64779782712857</v>
      </c>
      <c r="P221" s="130">
        <f t="shared" si="162"/>
        <v>5.911949968050386</v>
      </c>
      <c r="Q221" s="130">
        <f t="shared" si="173"/>
        <v>93.75283857433061</v>
      </c>
      <c r="R221" s="129">
        <f t="shared" si="197"/>
        <v>4066.9997766078122</v>
      </c>
      <c r="S221" s="130">
        <f t="shared" si="174"/>
        <v>4.166666666666667</v>
      </c>
      <c r="T221" s="130">
        <f t="shared" si="175"/>
        <v>6.6</v>
      </c>
      <c r="U221" s="134">
        <f t="shared" si="198"/>
        <v>2.68125</v>
      </c>
      <c r="V221" s="130">
        <f t="shared" si="176"/>
        <v>19887</v>
      </c>
      <c r="W221" s="130">
        <f t="shared" si="177"/>
        <v>19.17</v>
      </c>
      <c r="X221" s="130">
        <f t="shared" si="178"/>
        <v>80.60398759084151</v>
      </c>
      <c r="Y221" s="130">
        <f t="shared" si="179"/>
        <v>21.38036806123117</v>
      </c>
      <c r="Z221" s="130">
        <f t="shared" si="180"/>
        <v>6.6093374737684565</v>
      </c>
      <c r="AA221" s="130">
        <f t="shared" si="181"/>
        <v>21.76374605385369</v>
      </c>
      <c r="AB221" s="130">
        <f t="shared" si="182"/>
        <v>0.023533804791107116</v>
      </c>
      <c r="AC221" s="130">
        <f t="shared" si="183"/>
        <v>0.6576290786399615</v>
      </c>
      <c r="AD221" s="130">
        <f t="shared" si="184"/>
        <v>41.72811783885224</v>
      </c>
      <c r="AE221" s="130">
        <f t="shared" si="185"/>
        <v>-12.346412575830593</v>
      </c>
      <c r="AF221" s="130">
        <f t="shared" si="186"/>
        <v>0.11214322870146741</v>
      </c>
      <c r="AG221" s="130">
        <f t="shared" si="187"/>
        <v>0.03578583361881933</v>
      </c>
      <c r="AH221" s="130">
        <f t="shared" si="188"/>
        <v>122.5675539736444</v>
      </c>
      <c r="AI221" s="130">
        <f t="shared" si="189"/>
        <v>33.094257478491</v>
      </c>
      <c r="AJ221" s="130">
        <f t="shared" si="190"/>
        <v>13.175906470369913</v>
      </c>
      <c r="AK221" s="130">
        <f t="shared" si="199"/>
        <v>388.4006001790364</v>
      </c>
      <c r="AL221" s="130">
        <f t="shared" si="191"/>
        <v>3498.502625752043</v>
      </c>
      <c r="AM221" s="130">
        <f t="shared" si="192"/>
        <v>2645.0554994326862</v>
      </c>
      <c r="AN221" s="130">
        <f t="shared" si="193"/>
        <v>2575.1146905083087</v>
      </c>
      <c r="AO221" s="130">
        <f t="shared" si="194"/>
        <v>2545.944239790511</v>
      </c>
      <c r="AP221" s="130">
        <f t="shared" si="195"/>
        <v>3341.170135877359</v>
      </c>
      <c r="AQ221" s="130">
        <f t="shared" si="196"/>
        <v>3082.487228055053</v>
      </c>
      <c r="AR221" s="130">
        <f t="shared" si="200"/>
        <v>299.87575208875865</v>
      </c>
      <c r="AS221" s="130">
        <f t="shared" si="201"/>
        <v>145.98592982691522</v>
      </c>
      <c r="AT221" s="130">
        <f t="shared" si="202"/>
        <v>-32.65694648196558</v>
      </c>
      <c r="AU221" s="130">
        <f t="shared" si="203"/>
        <v>32.02453039558455</v>
      </c>
      <c r="AV221" s="130">
        <f t="shared" si="204"/>
        <v>312.0501580244125</v>
      </c>
      <c r="AW221" s="130">
        <f t="shared" si="205"/>
        <v>31.97454106936842</v>
      </c>
      <c r="AX221" s="130">
        <f t="shared" si="206"/>
        <v>1557.134033071185</v>
      </c>
      <c r="AY221" s="130">
        <f t="shared" si="207"/>
        <v>619.945995008658</v>
      </c>
      <c r="AZ221" s="130">
        <f t="shared" si="208"/>
        <v>2666.458240914158</v>
      </c>
      <c r="BA221" s="130">
        <f t="shared" si="209"/>
        <v>545.3052280450516</v>
      </c>
      <c r="BB221" s="130">
        <f t="shared" si="210"/>
        <v>13.004612729996644</v>
      </c>
      <c r="BC221" s="130">
        <f t="shared" si="211"/>
        <v>532.300615315055</v>
      </c>
      <c r="BD221" s="129">
        <f t="shared" si="212"/>
        <v>3521.6945485627607</v>
      </c>
      <c r="BE221" s="129">
        <f t="shared" si="163"/>
        <v>-0.02057867874552445</v>
      </c>
      <c r="BF221" s="130">
        <f t="shared" si="213"/>
        <v>0.6421492236211852</v>
      </c>
      <c r="BG221" s="137">
        <f t="shared" si="214"/>
        <v>0.11709436502918495</v>
      </c>
      <c r="BH221" s="47"/>
      <c r="BI221" s="47"/>
      <c r="BJ221" s="47"/>
    </row>
    <row r="222" spans="1:62" ht="15.75">
      <c r="A222" s="108">
        <f>IF(Data!A222&gt;0,Data!A222,"")</f>
        <v>202</v>
      </c>
      <c r="B222" s="109">
        <f>IF(A222&gt;0,IF(Data!$F$5="lb",Data!B222/2.204,Data!B222),"")</f>
        <v>5.830714577122738</v>
      </c>
      <c r="C222" s="109">
        <f>IF(A222&gt;0,Data!C222,"")</f>
        <v>0.07372426986694336</v>
      </c>
      <c r="D222" s="110">
        <f>IF(A222&gt;0,Data!D222,"")</f>
        <v>27.44125747680664</v>
      </c>
      <c r="E222" s="143">
        <f t="shared" si="164"/>
        <v>-0.28030902303422867</v>
      </c>
      <c r="F222" s="144">
        <f t="shared" si="165"/>
        <v>19.359160525899945</v>
      </c>
      <c r="G222" s="145">
        <f t="shared" si="166"/>
        <v>-8.118959085840167</v>
      </c>
      <c r="H222" s="111">
        <f>IF(A222&gt;0,IF(Data!$F$4="F",(Data!F222-32)/1.8,Data!F222),"")</f>
        <v>115.69023980034721</v>
      </c>
      <c r="I222" s="123">
        <f>IF(A222&gt;0,IF(Data!$F$4="F",(Data!G222-32)/1.8,Data!G222),"")</f>
        <v>26.88118404812283</v>
      </c>
      <c r="J222" s="136">
        <f t="shared" si="167"/>
        <v>0.9968031614804891</v>
      </c>
      <c r="K222" s="128">
        <f t="shared" si="168"/>
        <v>0.8686021811567599</v>
      </c>
      <c r="L222" s="128">
        <f t="shared" si="169"/>
        <v>0.8658254002459068</v>
      </c>
      <c r="M222" s="155">
        <f t="shared" si="170"/>
        <v>4.472316248789453</v>
      </c>
      <c r="N222" s="130">
        <f t="shared" si="171"/>
        <v>5.830714577122738</v>
      </c>
      <c r="O222" s="130">
        <f t="shared" si="172"/>
        <v>95.01980509689254</v>
      </c>
      <c r="P222" s="130">
        <f t="shared" si="162"/>
        <v>5.502615467532169</v>
      </c>
      <c r="Q222" s="130">
        <f t="shared" si="173"/>
        <v>94.1853826106727</v>
      </c>
      <c r="R222" s="129">
        <f t="shared" si="197"/>
        <v>113500.73140871515</v>
      </c>
      <c r="S222" s="130">
        <f t="shared" si="174"/>
        <v>4.166666666666667</v>
      </c>
      <c r="T222" s="130">
        <f t="shared" si="175"/>
        <v>6.6</v>
      </c>
      <c r="U222" s="134">
        <f t="shared" si="198"/>
        <v>2.68125</v>
      </c>
      <c r="V222" s="130">
        <f t="shared" si="176"/>
        <v>19887</v>
      </c>
      <c r="W222" s="130">
        <f t="shared" si="177"/>
        <v>19.17</v>
      </c>
      <c r="X222" s="130">
        <f t="shared" si="178"/>
        <v>80.60397733916659</v>
      </c>
      <c r="Y222" s="130">
        <f t="shared" si="179"/>
        <v>21.380365341954004</v>
      </c>
      <c r="Z222" s="130">
        <f t="shared" si="180"/>
        <v>6.6092427365365225</v>
      </c>
      <c r="AA222" s="130">
        <f t="shared" si="181"/>
        <v>21.763441719446664</v>
      </c>
      <c r="AB222" s="130">
        <f t="shared" si="182"/>
        <v>0.023529655561929985</v>
      </c>
      <c r="AC222" s="130">
        <f t="shared" si="183"/>
        <v>0.657619652285384</v>
      </c>
      <c r="AD222" s="130">
        <f t="shared" si="184"/>
        <v>41.72815909841163</v>
      </c>
      <c r="AE222" s="130">
        <f t="shared" si="185"/>
        <v>-12.34598001690622</v>
      </c>
      <c r="AF222" s="130">
        <f t="shared" si="186"/>
        <v>0.11210776565258362</v>
      </c>
      <c r="AG222" s="130">
        <f t="shared" si="187"/>
        <v>0.03578003710831765</v>
      </c>
      <c r="AH222" s="130">
        <f t="shared" si="188"/>
        <v>122.56929527432564</v>
      </c>
      <c r="AI222" s="130">
        <f t="shared" si="189"/>
        <v>33.09426907151201</v>
      </c>
      <c r="AJ222" s="130">
        <f t="shared" si="190"/>
        <v>13.175906470369913</v>
      </c>
      <c r="AK222" s="130">
        <f t="shared" si="199"/>
        <v>388.8402398003472</v>
      </c>
      <c r="AL222" s="130">
        <f t="shared" si="191"/>
        <v>3510.5008068774678</v>
      </c>
      <c r="AM222" s="130">
        <f t="shared" si="192"/>
        <v>2653.785224246103</v>
      </c>
      <c r="AN222" s="130">
        <f t="shared" si="193"/>
        <v>2583.530030264604</v>
      </c>
      <c r="AO222" s="130">
        <f t="shared" si="194"/>
        <v>2554.281782587414</v>
      </c>
      <c r="AP222" s="130">
        <f t="shared" si="195"/>
        <v>3353.3766480261806</v>
      </c>
      <c r="AQ222" s="130">
        <f t="shared" si="196"/>
        <v>3092.5341219193606</v>
      </c>
      <c r="AR222" s="130">
        <f t="shared" si="200"/>
        <v>300.0311840481228</v>
      </c>
      <c r="AS222" s="130">
        <f t="shared" si="201"/>
        <v>146.48673618448538</v>
      </c>
      <c r="AT222" s="130">
        <f t="shared" si="202"/>
        <v>-32.76357934770338</v>
      </c>
      <c r="AU222" s="130">
        <f t="shared" si="203"/>
        <v>32.01534670451091</v>
      </c>
      <c r="AV222" s="130">
        <f t="shared" si="204"/>
        <v>313.07651802378757</v>
      </c>
      <c r="AW222" s="130">
        <f t="shared" si="205"/>
        <v>31.969798653096145</v>
      </c>
      <c r="AX222" s="130">
        <f t="shared" si="206"/>
        <v>1557.4670731489427</v>
      </c>
      <c r="AY222" s="130">
        <f t="shared" si="207"/>
        <v>620.0783719425318</v>
      </c>
      <c r="AZ222" s="130">
        <f t="shared" si="208"/>
        <v>2668.330265309651</v>
      </c>
      <c r="BA222" s="130">
        <f t="shared" si="209"/>
        <v>15228.915208561188</v>
      </c>
      <c r="BB222" s="130">
        <f t="shared" si="210"/>
        <v>362.84249456817395</v>
      </c>
      <c r="BC222" s="130">
        <f t="shared" si="211"/>
        <v>14866.072713993013</v>
      </c>
      <c r="BD222" s="129">
        <f t="shared" si="212"/>
        <v>98271.81620015396</v>
      </c>
      <c r="BE222" s="129">
        <f t="shared" si="163"/>
        <v>26.023656850683594</v>
      </c>
      <c r="BF222" s="130">
        <f t="shared" si="213"/>
        <v>17.915259976297182</v>
      </c>
      <c r="BG222" s="137">
        <f t="shared" si="214"/>
        <v>3.267308598883711</v>
      </c>
      <c r="BH222" s="47"/>
      <c r="BI222" s="47"/>
      <c r="BJ222" s="47"/>
    </row>
    <row r="223" spans="60:62" ht="15.75">
      <c r="BH223" s="47"/>
      <c r="BI223" s="47"/>
      <c r="BJ223" s="47"/>
    </row>
    <row r="224" spans="60:62" ht="15.75">
      <c r="BH224" s="47"/>
      <c r="BI224" s="47"/>
      <c r="BJ224" s="47"/>
    </row>
    <row r="225" spans="60:62" ht="15.75">
      <c r="BH225" s="47"/>
      <c r="BI225" s="47"/>
      <c r="BJ225" s="47"/>
    </row>
    <row r="226" spans="60:62" ht="15.75">
      <c r="BH226" s="47"/>
      <c r="BI226" s="47"/>
      <c r="BJ226" s="47"/>
    </row>
    <row r="227" spans="60:62" ht="15.75">
      <c r="BH227" s="47"/>
      <c r="BI227" s="47"/>
      <c r="BJ227" s="47"/>
    </row>
    <row r="228" spans="60:62" ht="15.75">
      <c r="BH228" s="47"/>
      <c r="BI228" s="47"/>
      <c r="BJ228" s="47"/>
    </row>
    <row r="229" spans="60:62" ht="15.75">
      <c r="BH229" s="47"/>
      <c r="BI229" s="47"/>
      <c r="BJ229" s="47"/>
    </row>
    <row r="230" spans="60:62" ht="15.75">
      <c r="BH230" s="47"/>
      <c r="BI230" s="47"/>
      <c r="BJ230" s="47"/>
    </row>
    <row r="231" spans="60:62" ht="15.75">
      <c r="BH231" s="47"/>
      <c r="BI231" s="47"/>
      <c r="BJ231" s="47"/>
    </row>
    <row r="232" spans="60:62" ht="15.75">
      <c r="BH232" s="47"/>
      <c r="BI232" s="47"/>
      <c r="BJ232" s="47"/>
    </row>
    <row r="233" spans="60:62" ht="15.75">
      <c r="BH233" s="47"/>
      <c r="BI233" s="47"/>
      <c r="BJ233" s="47"/>
    </row>
    <row r="234" spans="60:62" ht="15.75">
      <c r="BH234" s="47"/>
      <c r="BI234" s="47"/>
      <c r="BJ234" s="47"/>
    </row>
    <row r="235" spans="60:62" ht="15.75">
      <c r="BH235" s="47"/>
      <c r="BI235" s="47"/>
      <c r="BJ235" s="47"/>
    </row>
    <row r="236" spans="60:62" ht="15.75">
      <c r="BH236" s="47"/>
      <c r="BI236" s="47"/>
      <c r="BJ236" s="47"/>
    </row>
    <row r="237" spans="60:62" ht="15.75">
      <c r="BH237" s="47"/>
      <c r="BI237" s="47"/>
      <c r="BJ237" s="47"/>
    </row>
    <row r="238" spans="60:62" ht="15.75">
      <c r="BH238" s="47"/>
      <c r="BI238" s="47"/>
      <c r="BJ238" s="47"/>
    </row>
    <row r="239" spans="60:62" ht="15.75">
      <c r="BH239" s="47"/>
      <c r="BI239" s="47"/>
      <c r="BJ239" s="47"/>
    </row>
    <row r="240" spans="60:62" ht="15.75">
      <c r="BH240" s="47"/>
      <c r="BI240" s="47"/>
      <c r="BJ240" s="47"/>
    </row>
    <row r="241" spans="60:62" ht="15.75">
      <c r="BH241" s="47"/>
      <c r="BI241" s="47"/>
      <c r="BJ241" s="47"/>
    </row>
    <row r="242" spans="60:62" ht="15.75">
      <c r="BH242" s="47"/>
      <c r="BI242" s="47"/>
      <c r="BJ242" s="47"/>
    </row>
    <row r="243" spans="60:62" ht="15.75">
      <c r="BH243" s="47"/>
      <c r="BI243" s="47"/>
      <c r="BJ243" s="47"/>
    </row>
    <row r="244" spans="60:62" ht="15.75">
      <c r="BH244" s="47"/>
      <c r="BI244" s="47"/>
      <c r="BJ244" s="47"/>
    </row>
    <row r="245" spans="60:62" ht="15.75">
      <c r="BH245" s="47"/>
      <c r="BI245" s="47"/>
      <c r="BJ245" s="47"/>
    </row>
    <row r="246" spans="60:62" ht="15.75">
      <c r="BH246" s="47"/>
      <c r="BI246" s="47"/>
      <c r="BJ246" s="47"/>
    </row>
    <row r="247" spans="60:62" ht="15.75">
      <c r="BH247" s="47"/>
      <c r="BI247" s="47"/>
      <c r="BJ247" s="47"/>
    </row>
    <row r="248" spans="60:62" ht="15.75">
      <c r="BH248" s="47"/>
      <c r="BI248" s="47"/>
      <c r="BJ248" s="47"/>
    </row>
    <row r="249" spans="60:62" ht="15.75">
      <c r="BH249" s="47"/>
      <c r="BI249" s="47"/>
      <c r="BJ249" s="47"/>
    </row>
    <row r="250" spans="60:62" ht="15.75">
      <c r="BH250" s="47"/>
      <c r="BI250" s="47"/>
      <c r="BJ250" s="47"/>
    </row>
    <row r="251" spans="60:62" ht="15.75">
      <c r="BH251" s="47"/>
      <c r="BI251" s="47"/>
      <c r="BJ251" s="47"/>
    </row>
    <row r="252" spans="60:62" ht="15.75">
      <c r="BH252" s="47"/>
      <c r="BI252" s="47"/>
      <c r="BJ252" s="47"/>
    </row>
    <row r="253" spans="60:62" ht="15.75">
      <c r="BH253" s="47"/>
      <c r="BI253" s="47"/>
      <c r="BJ253" s="47"/>
    </row>
    <row r="254" spans="60:62" ht="15.75">
      <c r="BH254" s="47"/>
      <c r="BI254" s="47"/>
      <c r="BJ254" s="47"/>
    </row>
    <row r="255" spans="60:62" ht="15.75">
      <c r="BH255" s="47"/>
      <c r="BI255" s="47"/>
      <c r="BJ255" s="47"/>
    </row>
    <row r="256" spans="60:62" ht="15.75">
      <c r="BH256" s="47"/>
      <c r="BI256" s="47"/>
      <c r="BJ256" s="47"/>
    </row>
    <row r="257" spans="60:62" ht="15.75">
      <c r="BH257" s="47"/>
      <c r="BI257" s="47"/>
      <c r="BJ257" s="47"/>
    </row>
    <row r="258" spans="60:62" ht="15.75">
      <c r="BH258" s="47"/>
      <c r="BI258" s="47"/>
      <c r="BJ258" s="47"/>
    </row>
    <row r="259" spans="60:62" ht="15.75">
      <c r="BH259" s="47"/>
      <c r="BI259" s="47"/>
      <c r="BJ259" s="47"/>
    </row>
    <row r="260" spans="60:62" ht="15.75">
      <c r="BH260" s="47"/>
      <c r="BI260" s="47"/>
      <c r="BJ260" s="47"/>
    </row>
    <row r="261" spans="60:62" ht="15.75">
      <c r="BH261" s="47"/>
      <c r="BI261" s="47"/>
      <c r="BJ261" s="47"/>
    </row>
    <row r="262" spans="60:62" ht="15.75">
      <c r="BH262" s="47"/>
      <c r="BI262" s="47"/>
      <c r="BJ262" s="47"/>
    </row>
    <row r="263" spans="60:62" ht="15.75">
      <c r="BH263" s="47"/>
      <c r="BI263" s="47"/>
      <c r="BJ263" s="47"/>
    </row>
    <row r="264" spans="60:62" ht="15.75">
      <c r="BH264" s="47"/>
      <c r="BI264" s="47"/>
      <c r="BJ264" s="47"/>
    </row>
    <row r="265" spans="60:62" ht="15.75">
      <c r="BH265" s="47"/>
      <c r="BI265" s="47"/>
      <c r="BJ265" s="47"/>
    </row>
    <row r="266" spans="60:62" ht="15.75">
      <c r="BH266" s="47"/>
      <c r="BI266" s="47"/>
      <c r="BJ266" s="47"/>
    </row>
    <row r="267" spans="60:62" ht="15.75">
      <c r="BH267" s="47"/>
      <c r="BI267" s="47"/>
      <c r="BJ267" s="47"/>
    </row>
    <row r="268" spans="60:62" ht="15.75">
      <c r="BH268" s="47"/>
      <c r="BI268" s="47"/>
      <c r="BJ268" s="47"/>
    </row>
    <row r="269" spans="60:62" ht="15.75">
      <c r="BH269" s="47"/>
      <c r="BI269" s="47"/>
      <c r="BJ269" s="47"/>
    </row>
    <row r="270" spans="60:62" ht="15.75">
      <c r="BH270" s="47"/>
      <c r="BI270" s="47"/>
      <c r="BJ270" s="47"/>
    </row>
    <row r="271" spans="60:62" ht="15.75">
      <c r="BH271" s="47"/>
      <c r="BI271" s="47"/>
      <c r="BJ271" s="47"/>
    </row>
    <row r="272" spans="60:62" ht="15.75">
      <c r="BH272" s="47"/>
      <c r="BI272" s="47"/>
      <c r="BJ272" s="47"/>
    </row>
    <row r="273" spans="60:62" ht="15.75">
      <c r="BH273" s="47"/>
      <c r="BI273" s="47"/>
      <c r="BJ273" s="47"/>
    </row>
    <row r="274" spans="60:62" ht="15.75">
      <c r="BH274" s="47"/>
      <c r="BI274" s="47"/>
      <c r="BJ274" s="47"/>
    </row>
    <row r="275" spans="60:62" ht="15.75">
      <c r="BH275" s="47"/>
      <c r="BI275" s="47"/>
      <c r="BJ275" s="47"/>
    </row>
    <row r="276" spans="60:62" ht="15.75">
      <c r="BH276" s="47"/>
      <c r="BI276" s="47"/>
      <c r="BJ276" s="47"/>
    </row>
    <row r="277" spans="60:62" ht="15.75">
      <c r="BH277" s="47"/>
      <c r="BI277" s="47"/>
      <c r="BJ277" s="47"/>
    </row>
    <row r="278" spans="60:62" ht="15.75">
      <c r="BH278" s="47"/>
      <c r="BI278" s="47"/>
      <c r="BJ278" s="47"/>
    </row>
    <row r="279" spans="60:62" ht="15.75">
      <c r="BH279" s="47"/>
      <c r="BI279" s="47"/>
      <c r="BJ279" s="47"/>
    </row>
    <row r="280" spans="60:62" ht="15.75">
      <c r="BH280" s="47"/>
      <c r="BI280" s="47"/>
      <c r="BJ280" s="47"/>
    </row>
    <row r="281" spans="60:62" ht="15.75">
      <c r="BH281" s="47"/>
      <c r="BI281" s="47"/>
      <c r="BJ281" s="47"/>
    </row>
    <row r="282" spans="60:62" ht="15.75">
      <c r="BH282" s="47"/>
      <c r="BI282" s="47"/>
      <c r="BJ282" s="47"/>
    </row>
    <row r="283" spans="60:62" ht="15.75">
      <c r="BH283" s="47"/>
      <c r="BI283" s="47"/>
      <c r="BJ283" s="47"/>
    </row>
    <row r="284" spans="60:62" ht="15.75">
      <c r="BH284" s="47"/>
      <c r="BI284" s="47"/>
      <c r="BJ284" s="47"/>
    </row>
    <row r="285" spans="60:62" ht="15.75">
      <c r="BH285" s="47"/>
      <c r="BI285" s="47"/>
      <c r="BJ285" s="47"/>
    </row>
    <row r="286" spans="60:62" ht="15.75">
      <c r="BH286" s="47"/>
      <c r="BI286" s="47"/>
      <c r="BJ286" s="47"/>
    </row>
    <row r="287" spans="60:62" ht="15.75">
      <c r="BH287" s="47"/>
      <c r="BI287" s="47"/>
      <c r="BJ287" s="47"/>
    </row>
    <row r="288" spans="60:62" ht="15.75">
      <c r="BH288" s="47"/>
      <c r="BI288" s="47"/>
      <c r="BJ288" s="47"/>
    </row>
    <row r="289" spans="60:62" ht="15.75">
      <c r="BH289" s="47"/>
      <c r="BI289" s="47"/>
      <c r="BJ289" s="47"/>
    </row>
    <row r="290" spans="60:62" ht="15.75">
      <c r="BH290" s="47"/>
      <c r="BI290" s="47"/>
      <c r="BJ290" s="47"/>
    </row>
    <row r="291" spans="60:62" ht="15.75">
      <c r="BH291" s="47"/>
      <c r="BI291" s="47"/>
      <c r="BJ291" s="47"/>
    </row>
    <row r="292" spans="60:62" ht="15.75">
      <c r="BH292" s="47"/>
      <c r="BI292" s="47"/>
      <c r="BJ292" s="47"/>
    </row>
    <row r="293" spans="60:62" ht="15.75">
      <c r="BH293" s="47"/>
      <c r="BI293" s="47"/>
      <c r="BJ293" s="47"/>
    </row>
    <row r="294" spans="60:62" ht="15.75">
      <c r="BH294" s="47"/>
      <c r="BI294" s="47"/>
      <c r="BJ294" s="47"/>
    </row>
    <row r="295" spans="60:62" ht="15.75">
      <c r="BH295" s="47"/>
      <c r="BI295" s="47"/>
      <c r="BJ295" s="47"/>
    </row>
    <row r="296" spans="60:62" ht="15.75">
      <c r="BH296" s="47"/>
      <c r="BI296" s="47"/>
      <c r="BJ296" s="47"/>
    </row>
    <row r="297" spans="60:62" ht="15.75">
      <c r="BH297" s="47"/>
      <c r="BI297" s="47"/>
      <c r="BJ297" s="47"/>
    </row>
    <row r="298" spans="60:62" ht="15.75">
      <c r="BH298" s="47"/>
      <c r="BI298" s="47"/>
      <c r="BJ298" s="47"/>
    </row>
    <row r="299" spans="60:62" ht="15.75">
      <c r="BH299" s="47"/>
      <c r="BI299" s="47"/>
      <c r="BJ299" s="47"/>
    </row>
    <row r="300" spans="60:62" ht="15.75">
      <c r="BH300" s="47"/>
      <c r="BI300" s="47"/>
      <c r="BJ300" s="47"/>
    </row>
    <row r="301" spans="60:62" ht="15.75">
      <c r="BH301" s="47"/>
      <c r="BI301" s="47"/>
      <c r="BJ301" s="47"/>
    </row>
    <row r="302" spans="60:62" ht="15.75">
      <c r="BH302" s="47"/>
      <c r="BI302" s="47"/>
      <c r="BJ302" s="47"/>
    </row>
    <row r="303" spans="60:62" ht="15.75">
      <c r="BH303" s="47"/>
      <c r="BI303" s="47"/>
      <c r="BJ303" s="47"/>
    </row>
    <row r="304" spans="60:62" ht="15.75">
      <c r="BH304" s="47"/>
      <c r="BI304" s="47"/>
      <c r="BJ304" s="47"/>
    </row>
    <row r="305" spans="60:62" ht="15.75">
      <c r="BH305" s="47"/>
      <c r="BI305" s="47"/>
      <c r="BJ305" s="47"/>
    </row>
    <row r="306" spans="60:62" ht="15.75">
      <c r="BH306" s="47"/>
      <c r="BI306" s="47"/>
      <c r="BJ306" s="47"/>
    </row>
    <row r="307" spans="60:62" ht="15.75">
      <c r="BH307" s="47"/>
      <c r="BI307" s="47"/>
      <c r="BJ307" s="47"/>
    </row>
    <row r="308" spans="60:62" ht="15.75">
      <c r="BH308" s="47"/>
      <c r="BI308" s="47"/>
      <c r="BJ308" s="47"/>
    </row>
    <row r="309" spans="60:62" ht="15.75">
      <c r="BH309" s="47"/>
      <c r="BI309" s="47"/>
      <c r="BJ309" s="47"/>
    </row>
    <row r="310" spans="60:62" ht="15.75">
      <c r="BH310" s="47"/>
      <c r="BI310" s="47"/>
      <c r="BJ310" s="47"/>
    </row>
    <row r="311" spans="60:62" ht="15.75">
      <c r="BH311" s="47"/>
      <c r="BI311" s="47"/>
      <c r="BJ311" s="47"/>
    </row>
    <row r="312" spans="60:62" ht="15.75">
      <c r="BH312" s="47"/>
      <c r="BI312" s="47"/>
      <c r="BJ312" s="47"/>
    </row>
    <row r="313" spans="60:62" ht="15.75">
      <c r="BH313" s="47"/>
      <c r="BI313" s="47"/>
      <c r="BJ313" s="47"/>
    </row>
    <row r="314" spans="60:62" ht="15.75">
      <c r="BH314" s="47"/>
      <c r="BI314" s="47"/>
      <c r="BJ314" s="47"/>
    </row>
    <row r="315" spans="60:62" ht="15.75">
      <c r="BH315" s="47"/>
      <c r="BI315" s="47"/>
      <c r="BJ315" s="47"/>
    </row>
    <row r="316" spans="60:62" ht="15.75">
      <c r="BH316" s="47"/>
      <c r="BI316" s="47"/>
      <c r="BJ316" s="47"/>
    </row>
    <row r="317" spans="60:62" ht="15.75">
      <c r="BH317" s="47"/>
      <c r="BI317" s="47"/>
      <c r="BJ317" s="47"/>
    </row>
    <row r="318" spans="60:62" ht="15.75">
      <c r="BH318" s="47"/>
      <c r="BI318" s="47"/>
      <c r="BJ318" s="47"/>
    </row>
    <row r="319" spans="60:62" ht="15.75">
      <c r="BH319" s="47"/>
      <c r="BI319" s="47"/>
      <c r="BJ319" s="47"/>
    </row>
    <row r="320" spans="60:62" ht="15.75">
      <c r="BH320" s="47"/>
      <c r="BI320" s="47"/>
      <c r="BJ320" s="47"/>
    </row>
    <row r="321" spans="60:62" ht="15.75">
      <c r="BH321" s="47"/>
      <c r="BI321" s="47"/>
      <c r="BJ321" s="47"/>
    </row>
    <row r="322" spans="60:62" ht="15.75">
      <c r="BH322" s="47"/>
      <c r="BI322" s="47"/>
      <c r="BJ322" s="47"/>
    </row>
    <row r="323" spans="60:62" ht="15.75">
      <c r="BH323" s="47"/>
      <c r="BI323" s="47"/>
      <c r="BJ323" s="47"/>
    </row>
    <row r="324" spans="60:62" ht="15.75">
      <c r="BH324" s="47"/>
      <c r="BI324" s="47"/>
      <c r="BJ324" s="47"/>
    </row>
    <row r="325" spans="60:62" ht="15.75">
      <c r="BH325" s="47"/>
      <c r="BI325" s="47"/>
      <c r="BJ325" s="47"/>
    </row>
    <row r="326" spans="60:62" ht="15.75">
      <c r="BH326" s="47"/>
      <c r="BI326" s="47"/>
      <c r="BJ326" s="47"/>
    </row>
    <row r="327" spans="60:62" ht="15.75">
      <c r="BH327" s="47"/>
      <c r="BI327" s="47"/>
      <c r="BJ327" s="47"/>
    </row>
    <row r="328" spans="60:62" ht="15.75">
      <c r="BH328" s="47"/>
      <c r="BI328" s="47"/>
      <c r="BJ328" s="47"/>
    </row>
    <row r="329" spans="60:62" ht="15.75">
      <c r="BH329" s="47"/>
      <c r="BI329" s="47"/>
      <c r="BJ329" s="47"/>
    </row>
    <row r="330" spans="60:62" ht="15.75">
      <c r="BH330" s="47"/>
      <c r="BI330" s="47"/>
      <c r="BJ330" s="47"/>
    </row>
    <row r="331" spans="60:62" ht="15.75">
      <c r="BH331" s="47"/>
      <c r="BI331" s="47"/>
      <c r="BJ331" s="47"/>
    </row>
    <row r="332" spans="60:62" ht="15.75">
      <c r="BH332" s="47"/>
      <c r="BI332" s="47"/>
      <c r="BJ332" s="47"/>
    </row>
    <row r="333" spans="60:62" ht="15.75">
      <c r="BH333" s="47"/>
      <c r="BI333" s="47"/>
      <c r="BJ333" s="47"/>
    </row>
    <row r="334" spans="60:62" ht="15.75">
      <c r="BH334" s="47"/>
      <c r="BI334" s="47"/>
      <c r="BJ334" s="47"/>
    </row>
    <row r="335" spans="60:62" ht="15.75">
      <c r="BH335" s="47"/>
      <c r="BI335" s="47"/>
      <c r="BJ335" s="47"/>
    </row>
    <row r="336" spans="60:62" ht="15.75">
      <c r="BH336" s="47"/>
      <c r="BI336" s="47"/>
      <c r="BJ336" s="47"/>
    </row>
    <row r="337" spans="60:62" ht="15.75">
      <c r="BH337" s="47"/>
      <c r="BI337" s="47"/>
      <c r="BJ337" s="47"/>
    </row>
    <row r="338" spans="60:62" ht="15.75">
      <c r="BH338" s="47"/>
      <c r="BI338" s="47"/>
      <c r="BJ338" s="47"/>
    </row>
    <row r="339" spans="60:62" ht="15.75">
      <c r="BH339" s="47"/>
      <c r="BI339" s="47"/>
      <c r="BJ339" s="47"/>
    </row>
    <row r="340" spans="60:62" ht="15.75">
      <c r="BH340" s="47"/>
      <c r="BI340" s="47"/>
      <c r="BJ340" s="47"/>
    </row>
    <row r="341" spans="60:62" ht="15.75">
      <c r="BH341" s="47"/>
      <c r="BI341" s="47"/>
      <c r="BJ341" s="47"/>
    </row>
    <row r="342" spans="60:62" ht="15.75">
      <c r="BH342" s="47"/>
      <c r="BI342" s="47"/>
      <c r="BJ342" s="47"/>
    </row>
    <row r="343" spans="60:62" ht="15.75">
      <c r="BH343" s="47"/>
      <c r="BI343" s="47"/>
      <c r="BJ343" s="47"/>
    </row>
    <row r="344" spans="60:62" ht="15.75">
      <c r="BH344" s="47"/>
      <c r="BI344" s="47"/>
      <c r="BJ344" s="47"/>
    </row>
    <row r="345" spans="60:62" ht="15.75">
      <c r="BH345" s="47"/>
      <c r="BI345" s="47"/>
      <c r="BJ345" s="47"/>
    </row>
    <row r="346" spans="60:62" ht="15.75">
      <c r="BH346" s="47"/>
      <c r="BI346" s="47"/>
      <c r="BJ346" s="47"/>
    </row>
    <row r="347" spans="60:62" ht="15.75">
      <c r="BH347" s="47"/>
      <c r="BI347" s="47"/>
      <c r="BJ347" s="47"/>
    </row>
    <row r="348" spans="60:62" ht="15.75">
      <c r="BH348" s="47"/>
      <c r="BI348" s="47"/>
      <c r="BJ348" s="47"/>
    </row>
    <row r="349" spans="60:62" ht="15.75">
      <c r="BH349" s="47"/>
      <c r="BI349" s="47"/>
      <c r="BJ349" s="47"/>
    </row>
    <row r="350" spans="60:62" ht="15.75">
      <c r="BH350" s="47"/>
      <c r="BI350" s="47"/>
      <c r="BJ350" s="47"/>
    </row>
    <row r="351" spans="60:62" ht="15.75">
      <c r="BH351" s="47"/>
      <c r="BI351" s="47"/>
      <c r="BJ351" s="47"/>
    </row>
    <row r="352" spans="60:62" ht="15.75">
      <c r="BH352" s="47"/>
      <c r="BI352" s="47"/>
      <c r="BJ352" s="47"/>
    </row>
    <row r="353" spans="60:62" ht="15.75">
      <c r="BH353" s="47"/>
      <c r="BI353" s="47"/>
      <c r="BJ353" s="47"/>
    </row>
    <row r="354" spans="60:62" ht="15.75">
      <c r="BH354" s="47"/>
      <c r="BI354" s="47"/>
      <c r="BJ354" s="47"/>
    </row>
    <row r="355" spans="60:62" ht="15.75">
      <c r="BH355" s="47"/>
      <c r="BI355" s="47"/>
      <c r="BJ355" s="47"/>
    </row>
    <row r="356" spans="60:62" ht="15.75">
      <c r="BH356" s="47"/>
      <c r="BI356" s="47"/>
      <c r="BJ356" s="47"/>
    </row>
    <row r="357" spans="60:62" ht="15.75">
      <c r="BH357" s="47"/>
      <c r="BI357" s="47"/>
      <c r="BJ357" s="47"/>
    </row>
    <row r="358" spans="60:62" ht="15.75">
      <c r="BH358" s="47"/>
      <c r="BI358" s="47"/>
      <c r="BJ358" s="47"/>
    </row>
    <row r="359" spans="60:62" ht="15.75">
      <c r="BH359" s="47"/>
      <c r="BI359" s="47"/>
      <c r="BJ359" s="47"/>
    </row>
    <row r="360" spans="60:62" ht="15.75">
      <c r="BH360" s="47"/>
      <c r="BI360" s="47"/>
      <c r="BJ360" s="47"/>
    </row>
    <row r="361" spans="60:62" ht="15.75">
      <c r="BH361" s="47"/>
      <c r="BI361" s="47"/>
      <c r="BJ361" s="47"/>
    </row>
    <row r="362" spans="60:62" ht="15.75">
      <c r="BH362" s="47"/>
      <c r="BI362" s="47"/>
      <c r="BJ362" s="47"/>
    </row>
    <row r="363" spans="60:62" ht="15.75">
      <c r="BH363" s="47"/>
      <c r="BI363" s="47"/>
      <c r="BJ363" s="47"/>
    </row>
    <row r="364" spans="60:62" ht="15.75">
      <c r="BH364" s="47"/>
      <c r="BI364" s="47"/>
      <c r="BJ364" s="47"/>
    </row>
    <row r="365" spans="60:62" ht="15.75">
      <c r="BH365" s="47"/>
      <c r="BI365" s="47"/>
      <c r="BJ365" s="47"/>
    </row>
    <row r="366" spans="60:62" ht="15.75">
      <c r="BH366" s="47"/>
      <c r="BI366" s="47"/>
      <c r="BJ366" s="47"/>
    </row>
    <row r="367" spans="60:62" ht="15.75">
      <c r="BH367" s="47"/>
      <c r="BI367" s="47"/>
      <c r="BJ367" s="47"/>
    </row>
    <row r="368" spans="60:62" ht="15.75">
      <c r="BH368" s="47"/>
      <c r="BI368" s="47"/>
      <c r="BJ368" s="47"/>
    </row>
    <row r="369" spans="60:62" ht="15.75">
      <c r="BH369" s="47"/>
      <c r="BI369" s="47"/>
      <c r="BJ369" s="47"/>
    </row>
    <row r="370" spans="60:62" ht="15.75">
      <c r="BH370" s="47"/>
      <c r="BI370" s="47"/>
      <c r="BJ370" s="47"/>
    </row>
    <row r="371" spans="60:62" ht="15.75">
      <c r="BH371" s="47"/>
      <c r="BI371" s="47"/>
      <c r="BJ371" s="47"/>
    </row>
    <row r="372" spans="60:62" ht="15.75">
      <c r="BH372" s="47"/>
      <c r="BI372" s="47"/>
      <c r="BJ372" s="47"/>
    </row>
    <row r="373" spans="60:62" ht="15.75">
      <c r="BH373" s="47"/>
      <c r="BI373" s="47"/>
      <c r="BJ373" s="47"/>
    </row>
    <row r="374" spans="60:62" ht="15.75">
      <c r="BH374" s="47"/>
      <c r="BI374" s="47"/>
      <c r="BJ374" s="47"/>
    </row>
    <row r="375" spans="60:62" ht="15.75">
      <c r="BH375" s="47"/>
      <c r="BI375" s="47"/>
      <c r="BJ375" s="47"/>
    </row>
    <row r="376" spans="60:62" ht="15.75">
      <c r="BH376" s="47"/>
      <c r="BI376" s="47"/>
      <c r="BJ376" s="47"/>
    </row>
    <row r="377" spans="60:62" ht="15.75">
      <c r="BH377" s="47"/>
      <c r="BI377" s="47"/>
      <c r="BJ377" s="47"/>
    </row>
    <row r="378" spans="60:62" ht="15.75">
      <c r="BH378" s="47"/>
      <c r="BI378" s="47"/>
      <c r="BJ378" s="47"/>
    </row>
    <row r="379" spans="60:62" ht="15.75">
      <c r="BH379" s="47"/>
      <c r="BI379" s="47"/>
      <c r="BJ379" s="47"/>
    </row>
    <row r="380" spans="60:62" ht="15.75">
      <c r="BH380" s="47"/>
      <c r="BI380" s="47"/>
      <c r="BJ380" s="47"/>
    </row>
    <row r="381" spans="60:62" ht="15.75">
      <c r="BH381" s="47"/>
      <c r="BI381" s="47"/>
      <c r="BJ381" s="47"/>
    </row>
    <row r="382" spans="60:62" ht="15.75">
      <c r="BH382" s="47"/>
      <c r="BI382" s="47"/>
      <c r="BJ382" s="47"/>
    </row>
    <row r="383" spans="60:62" ht="15.75">
      <c r="BH383" s="47"/>
      <c r="BI383" s="47"/>
      <c r="BJ383" s="47"/>
    </row>
    <row r="384" spans="60:62" ht="15.75">
      <c r="BH384" s="47"/>
      <c r="BI384" s="47"/>
      <c r="BJ384" s="47"/>
    </row>
    <row r="385" spans="60:62" ht="15.75">
      <c r="BH385" s="47"/>
      <c r="BI385" s="47"/>
      <c r="BJ385" s="47"/>
    </row>
    <row r="386" spans="60:62" ht="15.75">
      <c r="BH386" s="47"/>
      <c r="BI386" s="47"/>
      <c r="BJ386" s="47"/>
    </row>
    <row r="387" spans="60:62" ht="15.75">
      <c r="BH387" s="47"/>
      <c r="BI387" s="47"/>
      <c r="BJ387" s="47"/>
    </row>
    <row r="388" spans="60:62" ht="15.75">
      <c r="BH388" s="47"/>
      <c r="BI388" s="47"/>
      <c r="BJ388" s="47"/>
    </row>
    <row r="389" spans="60:62" ht="15.75">
      <c r="BH389" s="47"/>
      <c r="BI389" s="47"/>
      <c r="BJ389" s="47"/>
    </row>
    <row r="390" spans="60:62" ht="15.75">
      <c r="BH390" s="47"/>
      <c r="BI390" s="47"/>
      <c r="BJ390" s="47"/>
    </row>
    <row r="391" spans="60:62" ht="15.75">
      <c r="BH391" s="47"/>
      <c r="BI391" s="47"/>
      <c r="BJ391" s="47"/>
    </row>
    <row r="392" spans="60:62" ht="15.75">
      <c r="BH392" s="47"/>
      <c r="BI392" s="47"/>
      <c r="BJ392" s="47"/>
    </row>
    <row r="393" spans="60:62" ht="15.75">
      <c r="BH393" s="47"/>
      <c r="BI393" s="47"/>
      <c r="BJ393" s="47"/>
    </row>
    <row r="394" spans="60:62" ht="15.75">
      <c r="BH394" s="47"/>
      <c r="BI394" s="47"/>
      <c r="BJ394" s="47"/>
    </row>
    <row r="395" spans="60:62" ht="15.75">
      <c r="BH395" s="47"/>
      <c r="BI395" s="47"/>
      <c r="BJ395" s="47"/>
    </row>
    <row r="396" spans="60:62" ht="15.75">
      <c r="BH396" s="47"/>
      <c r="BI396" s="47"/>
      <c r="BJ396" s="47"/>
    </row>
    <row r="397" spans="60:62" ht="15.75">
      <c r="BH397" s="47"/>
      <c r="BI397" s="47"/>
      <c r="BJ397" s="47"/>
    </row>
    <row r="398" spans="60:62" ht="15.75">
      <c r="BH398" s="47"/>
      <c r="BI398" s="47"/>
      <c r="BJ398" s="47"/>
    </row>
    <row r="399" spans="60:62" ht="15.75">
      <c r="BH399" s="47"/>
      <c r="BI399" s="47"/>
      <c r="BJ399" s="47"/>
    </row>
    <row r="400" spans="60:62" ht="15.75">
      <c r="BH400" s="47"/>
      <c r="BI400" s="47"/>
      <c r="BJ400" s="47"/>
    </row>
    <row r="401" spans="60:62" ht="15.75">
      <c r="BH401" s="47"/>
      <c r="BI401" s="47"/>
      <c r="BJ401" s="47"/>
    </row>
    <row r="402" spans="60:62" ht="15.75">
      <c r="BH402" s="47"/>
      <c r="BI402" s="47"/>
      <c r="BJ402" s="47"/>
    </row>
    <row r="403" spans="60:62" ht="15.75">
      <c r="BH403" s="47"/>
      <c r="BI403" s="47"/>
      <c r="BJ403" s="47"/>
    </row>
    <row r="404" spans="60:62" ht="15.75">
      <c r="BH404" s="47"/>
      <c r="BI404" s="47"/>
      <c r="BJ404" s="47"/>
    </row>
    <row r="405" spans="60:62" ht="15.75">
      <c r="BH405" s="47"/>
      <c r="BI405" s="47"/>
      <c r="BJ405" s="47"/>
    </row>
    <row r="406" spans="60:62" ht="15.75">
      <c r="BH406" s="47"/>
      <c r="BI406" s="47"/>
      <c r="BJ406" s="47"/>
    </row>
    <row r="407" spans="60:62" ht="15.75">
      <c r="BH407" s="47"/>
      <c r="BI407" s="47"/>
      <c r="BJ407" s="47"/>
    </row>
    <row r="408" spans="60:62" ht="15.75">
      <c r="BH408" s="47"/>
      <c r="BI408" s="47"/>
      <c r="BJ408" s="47"/>
    </row>
    <row r="409" spans="60:62" ht="15.75">
      <c r="BH409" s="47"/>
      <c r="BI409" s="47"/>
      <c r="BJ409" s="47"/>
    </row>
    <row r="410" spans="60:62" ht="15.75">
      <c r="BH410" s="47"/>
      <c r="BI410" s="47"/>
      <c r="BJ410" s="47"/>
    </row>
    <row r="411" spans="60:62" ht="15.75">
      <c r="BH411" s="47"/>
      <c r="BI411" s="47"/>
      <c r="BJ411" s="47"/>
    </row>
    <row r="412" spans="60:62" ht="15.75">
      <c r="BH412" s="47"/>
      <c r="BI412" s="47"/>
      <c r="BJ412" s="47"/>
    </row>
    <row r="413" spans="60:62" ht="15.75">
      <c r="BH413" s="47"/>
      <c r="BI413" s="47"/>
      <c r="BJ413" s="47"/>
    </row>
    <row r="414" spans="60:62" ht="15.75">
      <c r="BH414" s="47"/>
      <c r="BI414" s="47"/>
      <c r="BJ414" s="47"/>
    </row>
    <row r="415" spans="60:62" ht="15.75">
      <c r="BH415" s="47"/>
      <c r="BI415" s="47"/>
      <c r="BJ415" s="47"/>
    </row>
    <row r="416" spans="60:62" ht="15.75">
      <c r="BH416" s="47"/>
      <c r="BI416" s="47"/>
      <c r="BJ416" s="47"/>
    </row>
    <row r="417" spans="60:62" ht="15.75">
      <c r="BH417" s="47"/>
      <c r="BI417" s="47"/>
      <c r="BJ417" s="47"/>
    </row>
    <row r="418" spans="60:62" ht="15.75">
      <c r="BH418" s="47"/>
      <c r="BI418" s="47"/>
      <c r="BJ418" s="47"/>
    </row>
    <row r="419" spans="60:62" ht="15.75">
      <c r="BH419" s="47"/>
      <c r="BI419" s="47"/>
      <c r="BJ419" s="47"/>
    </row>
    <row r="420" spans="60:62" ht="15.75">
      <c r="BH420" s="47"/>
      <c r="BI420" s="47"/>
      <c r="BJ420" s="47"/>
    </row>
    <row r="421" spans="60:62" ht="15.75">
      <c r="BH421" s="47"/>
      <c r="BI421" s="47"/>
      <c r="BJ421" s="47"/>
    </row>
    <row r="422" spans="60:62" ht="15.75">
      <c r="BH422" s="47"/>
      <c r="BI422" s="47"/>
      <c r="BJ422" s="47"/>
    </row>
    <row r="423" spans="60:62" ht="15.75">
      <c r="BH423" s="47"/>
      <c r="BI423" s="47"/>
      <c r="BJ423" s="47"/>
    </row>
    <row r="424" spans="60:62" ht="15.75">
      <c r="BH424" s="47"/>
      <c r="BI424" s="47"/>
      <c r="BJ424" s="47"/>
    </row>
    <row r="425" spans="60:62" ht="15.75">
      <c r="BH425" s="47"/>
      <c r="BI425" s="47"/>
      <c r="BJ425" s="47"/>
    </row>
    <row r="426" spans="60:62" ht="15.75">
      <c r="BH426" s="47"/>
      <c r="BI426" s="47"/>
      <c r="BJ426" s="47"/>
    </row>
    <row r="427" spans="60:62" ht="15.75">
      <c r="BH427" s="47"/>
      <c r="BI427" s="47"/>
      <c r="BJ427" s="47"/>
    </row>
    <row r="428" spans="60:62" ht="15.75">
      <c r="BH428" s="47"/>
      <c r="BI428" s="47"/>
      <c r="BJ428" s="47"/>
    </row>
    <row r="429" spans="60:62" ht="15.75">
      <c r="BH429" s="47"/>
      <c r="BI429" s="47"/>
      <c r="BJ429" s="47"/>
    </row>
    <row r="430" spans="60:62" ht="15.75">
      <c r="BH430" s="47"/>
      <c r="BI430" s="47"/>
      <c r="BJ430" s="47"/>
    </row>
    <row r="431" spans="60:62" ht="15.75">
      <c r="BH431" s="47"/>
      <c r="BI431" s="47"/>
      <c r="BJ431" s="47"/>
    </row>
    <row r="432" spans="60:62" ht="15.75">
      <c r="BH432" s="47"/>
      <c r="BI432" s="47"/>
      <c r="BJ432" s="47"/>
    </row>
    <row r="433" spans="60:62" ht="15.75">
      <c r="BH433" s="47"/>
      <c r="BI433" s="47"/>
      <c r="BJ433" s="47"/>
    </row>
    <row r="434" spans="60:62" ht="15.75">
      <c r="BH434" s="47"/>
      <c r="BI434" s="47"/>
      <c r="BJ434" s="47"/>
    </row>
    <row r="435" spans="60:62" ht="15.75">
      <c r="BH435" s="47"/>
      <c r="BI435" s="47"/>
      <c r="BJ435" s="47"/>
    </row>
    <row r="436" spans="60:62" ht="15.75">
      <c r="BH436" s="47"/>
      <c r="BI436" s="47"/>
      <c r="BJ436" s="47"/>
    </row>
    <row r="437" spans="60:62" ht="15.75">
      <c r="BH437" s="47"/>
      <c r="BI437" s="47"/>
      <c r="BJ437" s="47"/>
    </row>
    <row r="438" spans="60:62" ht="15.75">
      <c r="BH438" s="47"/>
      <c r="BI438" s="47"/>
      <c r="BJ438" s="47"/>
    </row>
    <row r="439" spans="60:62" ht="15.75">
      <c r="BH439" s="47"/>
      <c r="BI439" s="47"/>
      <c r="BJ439" s="47"/>
    </row>
    <row r="440" spans="60:62" ht="15.75">
      <c r="BH440" s="47"/>
      <c r="BI440" s="47"/>
      <c r="BJ440" s="47"/>
    </row>
    <row r="441" spans="60:62" ht="15.75">
      <c r="BH441" s="47"/>
      <c r="BI441" s="47"/>
      <c r="BJ441" s="47"/>
    </row>
    <row r="442" spans="60:62" ht="15.75">
      <c r="BH442" s="47"/>
      <c r="BI442" s="47"/>
      <c r="BJ442" s="47"/>
    </row>
    <row r="443" spans="60:62" ht="15.75">
      <c r="BH443" s="47"/>
      <c r="BI443" s="47"/>
      <c r="BJ443" s="47"/>
    </row>
    <row r="444" spans="60:62" ht="15.75">
      <c r="BH444" s="47"/>
      <c r="BI444" s="47"/>
      <c r="BJ444" s="47"/>
    </row>
    <row r="445" spans="60:62" ht="15.75">
      <c r="BH445" s="47"/>
      <c r="BI445" s="47"/>
      <c r="BJ445" s="47"/>
    </row>
    <row r="446" spans="60:62" ht="15.75">
      <c r="BH446" s="47"/>
      <c r="BI446" s="47"/>
      <c r="BJ446" s="47"/>
    </row>
    <row r="447" spans="60:62" ht="15.75">
      <c r="BH447" s="47"/>
      <c r="BI447" s="47"/>
      <c r="BJ447" s="47"/>
    </row>
    <row r="448" spans="60:62" ht="15.75">
      <c r="BH448" s="47"/>
      <c r="BI448" s="47"/>
      <c r="BJ448" s="47"/>
    </row>
    <row r="449" spans="60:62" ht="15.75">
      <c r="BH449" s="47"/>
      <c r="BI449" s="47"/>
      <c r="BJ449" s="47"/>
    </row>
    <row r="450" spans="60:62" ht="15.75">
      <c r="BH450" s="47"/>
      <c r="BI450" s="47"/>
      <c r="BJ450" s="47"/>
    </row>
    <row r="451" spans="60:62" ht="15.75">
      <c r="BH451" s="47"/>
      <c r="BI451" s="47"/>
      <c r="BJ451" s="47"/>
    </row>
    <row r="452" spans="60:62" ht="15.75">
      <c r="BH452" s="47"/>
      <c r="BI452" s="47"/>
      <c r="BJ452" s="47"/>
    </row>
    <row r="453" spans="60:62" ht="15.75">
      <c r="BH453" s="47"/>
      <c r="BI453" s="47"/>
      <c r="BJ453" s="47"/>
    </row>
    <row r="454" spans="60:62" ht="15.75">
      <c r="BH454" s="47"/>
      <c r="BI454" s="47"/>
      <c r="BJ454" s="47"/>
    </row>
    <row r="455" spans="60:62" ht="15.75">
      <c r="BH455" s="47"/>
      <c r="BI455" s="47"/>
      <c r="BJ455" s="47"/>
    </row>
    <row r="456" spans="60:62" ht="15.75">
      <c r="BH456" s="47"/>
      <c r="BI456" s="47"/>
      <c r="BJ456" s="47"/>
    </row>
    <row r="457" spans="60:62" ht="15.75">
      <c r="BH457" s="47"/>
      <c r="BI457" s="47"/>
      <c r="BJ457" s="47"/>
    </row>
    <row r="458" spans="60:62" ht="15.75">
      <c r="BH458" s="47"/>
      <c r="BI458" s="47"/>
      <c r="BJ458" s="47"/>
    </row>
    <row r="459" spans="60:62" ht="15.75">
      <c r="BH459" s="47"/>
      <c r="BI459" s="47"/>
      <c r="BJ459" s="47"/>
    </row>
    <row r="460" spans="60:62" ht="15.75">
      <c r="BH460" s="47"/>
      <c r="BI460" s="47"/>
      <c r="BJ460" s="47"/>
    </row>
    <row r="461" spans="60:62" ht="15.75">
      <c r="BH461" s="47"/>
      <c r="BI461" s="47"/>
      <c r="BJ461" s="47"/>
    </row>
    <row r="462" spans="60:62" ht="15.75">
      <c r="BH462" s="47"/>
      <c r="BI462" s="47"/>
      <c r="BJ462" s="47"/>
    </row>
    <row r="463" spans="60:62" ht="15.75">
      <c r="BH463" s="47"/>
      <c r="BI463" s="47"/>
      <c r="BJ463" s="47"/>
    </row>
    <row r="464" spans="60:62" ht="15.75">
      <c r="BH464" s="47"/>
      <c r="BI464" s="47"/>
      <c r="BJ464" s="47"/>
    </row>
    <row r="465" spans="60:62" ht="15.75">
      <c r="BH465" s="47"/>
      <c r="BI465" s="47"/>
      <c r="BJ465" s="47"/>
    </row>
    <row r="466" spans="60:62" ht="15.75">
      <c r="BH466" s="47"/>
      <c r="BI466" s="47"/>
      <c r="BJ466" s="47"/>
    </row>
    <row r="467" spans="60:62" ht="15.75">
      <c r="BH467" s="47"/>
      <c r="BI467" s="47"/>
      <c r="BJ467" s="47"/>
    </row>
    <row r="468" spans="60:62" ht="15.75">
      <c r="BH468" s="47"/>
      <c r="BI468" s="47"/>
      <c r="BJ468" s="47"/>
    </row>
    <row r="469" spans="60:62" ht="15.75">
      <c r="BH469" s="47"/>
      <c r="BI469" s="47"/>
      <c r="BJ469" s="47"/>
    </row>
    <row r="470" spans="60:62" ht="15.75">
      <c r="BH470" s="47"/>
      <c r="BI470" s="47"/>
      <c r="BJ470" s="47"/>
    </row>
    <row r="471" spans="60:62" ht="15.75">
      <c r="BH471" s="47"/>
      <c r="BI471" s="47"/>
      <c r="BJ471" s="47"/>
    </row>
    <row r="472" spans="60:62" ht="15.75">
      <c r="BH472" s="47"/>
      <c r="BI472" s="47"/>
      <c r="BJ472" s="47"/>
    </row>
    <row r="473" spans="60:62" ht="15.75">
      <c r="BH473" s="47"/>
      <c r="BI473" s="47"/>
      <c r="BJ473" s="47"/>
    </row>
    <row r="474" spans="60:62" ht="15.75">
      <c r="BH474" s="47"/>
      <c r="BI474" s="47"/>
      <c r="BJ474" s="47"/>
    </row>
    <row r="475" spans="60:62" ht="15.75">
      <c r="BH475" s="47"/>
      <c r="BI475" s="47"/>
      <c r="BJ475" s="47"/>
    </row>
    <row r="476" spans="60:62" ht="15.75">
      <c r="BH476" s="47"/>
      <c r="BI476" s="47"/>
      <c r="BJ476" s="47"/>
    </row>
    <row r="477" spans="60:62" ht="15.75">
      <c r="BH477" s="47"/>
      <c r="BI477" s="47"/>
      <c r="BJ477" s="47"/>
    </row>
    <row r="478" spans="60:62" ht="15.75">
      <c r="BH478" s="47"/>
      <c r="BI478" s="47"/>
      <c r="BJ478" s="47"/>
    </row>
    <row r="479" spans="60:62" ht="15.75">
      <c r="BH479" s="47"/>
      <c r="BI479" s="47"/>
      <c r="BJ479" s="47"/>
    </row>
    <row r="480" spans="60:62" ht="15.75">
      <c r="BH480" s="47"/>
      <c r="BI480" s="47"/>
      <c r="BJ480" s="47"/>
    </row>
    <row r="481" spans="60:62" ht="15.75">
      <c r="BH481" s="47"/>
      <c r="BI481" s="47"/>
      <c r="BJ481" s="47"/>
    </row>
    <row r="482" spans="60:62" ht="15.75">
      <c r="BH482" s="47"/>
      <c r="BI482" s="47"/>
      <c r="BJ482" s="47"/>
    </row>
    <row r="483" spans="60:62" ht="15.75">
      <c r="BH483" s="47"/>
      <c r="BI483" s="47"/>
      <c r="BJ483" s="47"/>
    </row>
    <row r="484" spans="60:62" ht="15.75">
      <c r="BH484" s="47"/>
      <c r="BI484" s="47"/>
      <c r="BJ484" s="47"/>
    </row>
    <row r="485" spans="60:62" ht="15.75">
      <c r="BH485" s="47"/>
      <c r="BI485" s="47"/>
      <c r="BJ485" s="47"/>
    </row>
    <row r="486" spans="60:62" ht="15.75">
      <c r="BH486" s="47"/>
      <c r="BI486" s="47"/>
      <c r="BJ486" s="47"/>
    </row>
    <row r="487" spans="60:62" ht="15.75">
      <c r="BH487" s="47"/>
      <c r="BI487" s="47"/>
      <c r="BJ487" s="47"/>
    </row>
    <row r="488" spans="60:62" ht="15.75">
      <c r="BH488" s="47"/>
      <c r="BI488" s="47"/>
      <c r="BJ488" s="47"/>
    </row>
    <row r="489" spans="60:62" ht="15.75">
      <c r="BH489" s="47"/>
      <c r="BI489" s="47"/>
      <c r="BJ489" s="47"/>
    </row>
    <row r="490" spans="60:62" ht="15.75">
      <c r="BH490" s="47"/>
      <c r="BI490" s="47"/>
      <c r="BJ490" s="47"/>
    </row>
    <row r="491" spans="60:62" ht="15.75">
      <c r="BH491" s="47"/>
      <c r="BI491" s="47"/>
      <c r="BJ491" s="47"/>
    </row>
    <row r="492" spans="60:62" ht="15.75">
      <c r="BH492" s="47"/>
      <c r="BI492" s="47"/>
      <c r="BJ492" s="47"/>
    </row>
    <row r="493" spans="60:62" ht="15.75">
      <c r="BH493" s="47"/>
      <c r="BI493" s="47"/>
      <c r="BJ493" s="47"/>
    </row>
    <row r="494" spans="60:62" ht="15.75">
      <c r="BH494" s="47"/>
      <c r="BI494" s="47"/>
      <c r="BJ494" s="47"/>
    </row>
    <row r="495" spans="60:62" ht="15.75">
      <c r="BH495" s="47"/>
      <c r="BI495" s="47"/>
      <c r="BJ495" s="47"/>
    </row>
    <row r="496" spans="60:62" ht="15.75">
      <c r="BH496" s="47"/>
      <c r="BI496" s="47"/>
      <c r="BJ496" s="47"/>
    </row>
    <row r="497" spans="60:62" ht="15.75">
      <c r="BH497" s="47"/>
      <c r="BI497" s="47"/>
      <c r="BJ497" s="47"/>
    </row>
    <row r="498" spans="60:62" ht="15.75">
      <c r="BH498" s="47"/>
      <c r="BI498" s="47"/>
      <c r="BJ498" s="47"/>
    </row>
    <row r="499" spans="60:62" ht="15.75">
      <c r="BH499" s="47"/>
      <c r="BI499" s="47"/>
      <c r="BJ499" s="47"/>
    </row>
    <row r="500" spans="60:62" ht="15.75">
      <c r="BH500" s="47"/>
      <c r="BI500" s="47"/>
      <c r="BJ500" s="47"/>
    </row>
    <row r="501" spans="60:62" ht="15.75">
      <c r="BH501" s="47"/>
      <c r="BI501" s="47"/>
      <c r="BJ501" s="47"/>
    </row>
    <row r="502" spans="60:62" ht="15.75">
      <c r="BH502" s="47"/>
      <c r="BI502" s="47"/>
      <c r="BJ502" s="47"/>
    </row>
    <row r="503" spans="60:62" ht="15.75">
      <c r="BH503" s="47"/>
      <c r="BI503" s="47"/>
      <c r="BJ503" s="47"/>
    </row>
    <row r="504" spans="60:62" ht="15.75">
      <c r="BH504" s="47"/>
      <c r="BI504" s="47"/>
      <c r="BJ504" s="47"/>
    </row>
    <row r="505" spans="60:62" ht="15.75">
      <c r="BH505" s="47"/>
      <c r="BI505" s="47"/>
      <c r="BJ505" s="47"/>
    </row>
    <row r="506" spans="60:62" ht="15.75">
      <c r="BH506" s="47"/>
      <c r="BI506" s="47"/>
      <c r="BJ506" s="47"/>
    </row>
    <row r="507" spans="60:62" ht="15.75">
      <c r="BH507" s="47"/>
      <c r="BI507" s="47"/>
      <c r="BJ507" s="47"/>
    </row>
    <row r="508" spans="60:62" ht="15.75">
      <c r="BH508" s="47"/>
      <c r="BI508" s="47"/>
      <c r="BJ508" s="47"/>
    </row>
    <row r="509" spans="60:62" ht="15.75">
      <c r="BH509" s="47"/>
      <c r="BI509" s="47"/>
      <c r="BJ509" s="47"/>
    </row>
    <row r="510" spans="60:62" ht="15.75">
      <c r="BH510" s="47"/>
      <c r="BI510" s="47"/>
      <c r="BJ510" s="47"/>
    </row>
    <row r="511" spans="60:62" ht="15.75">
      <c r="BH511" s="47"/>
      <c r="BI511" s="47"/>
      <c r="BJ511" s="47"/>
    </row>
    <row r="512" spans="60:62" ht="15.75">
      <c r="BH512" s="47"/>
      <c r="BI512" s="47"/>
      <c r="BJ512" s="47"/>
    </row>
    <row r="513" spans="60:62" ht="15.75">
      <c r="BH513" s="47"/>
      <c r="BI513" s="47"/>
      <c r="BJ513" s="47"/>
    </row>
    <row r="514" spans="60:62" ht="15.75">
      <c r="BH514" s="47"/>
      <c r="BI514" s="47"/>
      <c r="BJ514" s="47"/>
    </row>
    <row r="515" spans="60:62" ht="15.75">
      <c r="BH515" s="47"/>
      <c r="BI515" s="47"/>
      <c r="BJ515" s="47"/>
    </row>
    <row r="516" spans="60:62" ht="15.75">
      <c r="BH516" s="47"/>
      <c r="BI516" s="47"/>
      <c r="BJ516" s="47"/>
    </row>
    <row r="517" spans="60:62" ht="15.75">
      <c r="BH517" s="47"/>
      <c r="BI517" s="47"/>
      <c r="BJ517" s="47"/>
    </row>
    <row r="518" spans="60:62" ht="15.75">
      <c r="BH518" s="47"/>
      <c r="BI518" s="47"/>
      <c r="BJ518" s="47"/>
    </row>
    <row r="519" spans="60:62" ht="15.75">
      <c r="BH519" s="47"/>
      <c r="BI519" s="47"/>
      <c r="BJ519" s="47"/>
    </row>
    <row r="520" spans="60:62" ht="15.75">
      <c r="BH520" s="47"/>
      <c r="BI520" s="47"/>
      <c r="BJ520" s="47"/>
    </row>
    <row r="521" spans="60:62" ht="15.75">
      <c r="BH521" s="47"/>
      <c r="BI521" s="47"/>
      <c r="BJ521" s="47"/>
    </row>
    <row r="522" spans="60:62" ht="15.75">
      <c r="BH522" s="47"/>
      <c r="BI522" s="47"/>
      <c r="BJ522" s="47"/>
    </row>
    <row r="523" spans="60:62" ht="15.75">
      <c r="BH523" s="47"/>
      <c r="BI523" s="47"/>
      <c r="BJ523" s="47"/>
    </row>
    <row r="524" spans="60:62" ht="15.75">
      <c r="BH524" s="47"/>
      <c r="BI524" s="47"/>
      <c r="BJ524" s="47"/>
    </row>
    <row r="525" spans="60:62" ht="15.75">
      <c r="BH525" s="47"/>
      <c r="BI525" s="47"/>
      <c r="BJ525" s="47"/>
    </row>
    <row r="526" spans="60:62" ht="15.75">
      <c r="BH526" s="47"/>
      <c r="BI526" s="47"/>
      <c r="BJ526" s="47"/>
    </row>
    <row r="527" spans="60:62" ht="15.75">
      <c r="BH527" s="47"/>
      <c r="BI527" s="47"/>
      <c r="BJ527" s="47"/>
    </row>
    <row r="528" spans="60:62" ht="15.75">
      <c r="BH528" s="47"/>
      <c r="BI528" s="47"/>
      <c r="BJ528" s="47"/>
    </row>
    <row r="529" spans="60:62" ht="15.75">
      <c r="BH529" s="47"/>
      <c r="BI529" s="47"/>
      <c r="BJ529" s="47"/>
    </row>
    <row r="530" spans="60:62" ht="15.75">
      <c r="BH530" s="47"/>
      <c r="BI530" s="47"/>
      <c r="BJ530" s="47"/>
    </row>
    <row r="531" spans="60:62" ht="15.75">
      <c r="BH531" s="47"/>
      <c r="BI531" s="47"/>
      <c r="BJ531" s="47"/>
    </row>
    <row r="532" spans="60:62" ht="15.75">
      <c r="BH532" s="47"/>
      <c r="BI532" s="47"/>
      <c r="BJ532" s="47"/>
    </row>
    <row r="533" spans="60:62" ht="15.75">
      <c r="BH533" s="47"/>
      <c r="BI533" s="47"/>
      <c r="BJ533" s="47"/>
    </row>
    <row r="534" spans="60:62" ht="15.75">
      <c r="BH534" s="47"/>
      <c r="BI534" s="47"/>
      <c r="BJ534" s="47"/>
    </row>
    <row r="535" spans="60:62" ht="15.75">
      <c r="BH535" s="47"/>
      <c r="BI535" s="47"/>
      <c r="BJ535" s="47"/>
    </row>
    <row r="536" spans="60:62" ht="15.75">
      <c r="BH536" s="47"/>
      <c r="BI536" s="47"/>
      <c r="BJ536" s="47"/>
    </row>
    <row r="537" spans="60:62" ht="15.75">
      <c r="BH537" s="47"/>
      <c r="BI537" s="47"/>
      <c r="BJ537" s="47"/>
    </row>
    <row r="538" spans="60:62" ht="15.75">
      <c r="BH538" s="47"/>
      <c r="BI538" s="47"/>
      <c r="BJ538" s="47"/>
    </row>
    <row r="539" spans="60:62" ht="15.75">
      <c r="BH539" s="47"/>
      <c r="BI539" s="47"/>
      <c r="BJ539" s="47"/>
    </row>
    <row r="540" spans="60:62" ht="15.75">
      <c r="BH540" s="47"/>
      <c r="BI540" s="47"/>
      <c r="BJ540" s="47"/>
    </row>
    <row r="541" spans="60:62" ht="15.75">
      <c r="BH541" s="47"/>
      <c r="BI541" s="47"/>
      <c r="BJ541" s="47"/>
    </row>
    <row r="542" spans="60:62" ht="15.75">
      <c r="BH542" s="47"/>
      <c r="BI542" s="47"/>
      <c r="BJ542" s="47"/>
    </row>
    <row r="543" spans="60:62" ht="15.75">
      <c r="BH543" s="47"/>
      <c r="BI543" s="47"/>
      <c r="BJ543" s="47"/>
    </row>
    <row r="544" spans="60:62" ht="15.75">
      <c r="BH544" s="47"/>
      <c r="BI544" s="47"/>
      <c r="BJ544" s="47"/>
    </row>
    <row r="545" spans="60:62" ht="15.75">
      <c r="BH545" s="47"/>
      <c r="BI545" s="47"/>
      <c r="BJ545" s="47"/>
    </row>
    <row r="546" spans="60:62" ht="15.75">
      <c r="BH546" s="47"/>
      <c r="BI546" s="47"/>
      <c r="BJ546" s="47"/>
    </row>
    <row r="547" spans="60:62" ht="15.75">
      <c r="BH547" s="47"/>
      <c r="BI547" s="47"/>
      <c r="BJ547" s="47"/>
    </row>
    <row r="548" spans="60:62" ht="15.75">
      <c r="BH548" s="47"/>
      <c r="BI548" s="47"/>
      <c r="BJ548" s="47"/>
    </row>
    <row r="549" spans="60:62" ht="15.75">
      <c r="BH549" s="47"/>
      <c r="BI549" s="47"/>
      <c r="BJ549" s="47"/>
    </row>
    <row r="550" spans="60:62" ht="15.75">
      <c r="BH550" s="47"/>
      <c r="BI550" s="47"/>
      <c r="BJ550" s="47"/>
    </row>
    <row r="551" spans="60:62" ht="15.75">
      <c r="BH551" s="47"/>
      <c r="BI551" s="47"/>
      <c r="BJ551" s="47"/>
    </row>
    <row r="552" spans="60:62" ht="15.75">
      <c r="BH552" s="47"/>
      <c r="BI552" s="47"/>
      <c r="BJ552" s="47"/>
    </row>
    <row r="553" spans="60:62" ht="15.75">
      <c r="BH553" s="47"/>
      <c r="BI553" s="47"/>
      <c r="BJ553" s="47"/>
    </row>
    <row r="554" spans="60:62" ht="15.75">
      <c r="BH554" s="47"/>
      <c r="BI554" s="47"/>
      <c r="BJ554" s="47"/>
    </row>
    <row r="555" spans="60:62" ht="15.75">
      <c r="BH555" s="47"/>
      <c r="BI555" s="47"/>
      <c r="BJ555" s="47"/>
    </row>
    <row r="556" spans="60:62" ht="15.75">
      <c r="BH556" s="47"/>
      <c r="BI556" s="47"/>
      <c r="BJ556" s="47"/>
    </row>
    <row r="557" spans="60:62" ht="15.75">
      <c r="BH557" s="47"/>
      <c r="BI557" s="47"/>
      <c r="BJ557" s="47"/>
    </row>
    <row r="558" spans="60:62" ht="15.75">
      <c r="BH558" s="47"/>
      <c r="BI558" s="47"/>
      <c r="BJ558" s="47"/>
    </row>
    <row r="559" spans="60:62" ht="15.75">
      <c r="BH559" s="47"/>
      <c r="BI559" s="47"/>
      <c r="BJ559" s="47"/>
    </row>
    <row r="560" spans="60:62" ht="15.75">
      <c r="BH560" s="47"/>
      <c r="BI560" s="47"/>
      <c r="BJ560" s="47"/>
    </row>
    <row r="561" spans="60:62" ht="15.75">
      <c r="BH561" s="47"/>
      <c r="BI561" s="47"/>
      <c r="BJ561" s="47"/>
    </row>
    <row r="562" spans="60:62" ht="15.75">
      <c r="BH562" s="47"/>
      <c r="BI562" s="47"/>
      <c r="BJ562" s="47"/>
    </row>
    <row r="563" spans="60:62" ht="15.75">
      <c r="BH563" s="47"/>
      <c r="BI563" s="47"/>
      <c r="BJ563" s="47"/>
    </row>
    <row r="564" spans="60:62" ht="15.75">
      <c r="BH564" s="47"/>
      <c r="BI564" s="47"/>
      <c r="BJ564" s="47"/>
    </row>
    <row r="565" spans="60:62" ht="15.75">
      <c r="BH565" s="47"/>
      <c r="BI565" s="47"/>
      <c r="BJ565" s="47"/>
    </row>
    <row r="566" spans="60:62" ht="15.75">
      <c r="BH566" s="47"/>
      <c r="BI566" s="47"/>
      <c r="BJ566" s="47"/>
    </row>
    <row r="567" spans="60:62" ht="15.75">
      <c r="BH567" s="47"/>
      <c r="BI567" s="47"/>
      <c r="BJ567" s="47"/>
    </row>
    <row r="568" spans="60:62" ht="15.75">
      <c r="BH568" s="47"/>
      <c r="BI568" s="47"/>
      <c r="BJ568" s="47"/>
    </row>
    <row r="569" spans="60:62" ht="15.75">
      <c r="BH569" s="47"/>
      <c r="BI569" s="47"/>
      <c r="BJ569" s="47"/>
    </row>
    <row r="570" spans="60:62" ht="15.75">
      <c r="BH570" s="47"/>
      <c r="BI570" s="47"/>
      <c r="BJ570" s="47"/>
    </row>
    <row r="571" spans="60:62" ht="15.75">
      <c r="BH571" s="47"/>
      <c r="BI571" s="47"/>
      <c r="BJ571" s="47"/>
    </row>
    <row r="572" spans="60:62" ht="15.75">
      <c r="BH572" s="47"/>
      <c r="BI572" s="47"/>
      <c r="BJ572" s="47"/>
    </row>
    <row r="573" spans="60:62" ht="15.75">
      <c r="BH573" s="47"/>
      <c r="BI573" s="47"/>
      <c r="BJ573" s="47"/>
    </row>
    <row r="574" spans="60:62" ht="15.75">
      <c r="BH574" s="47"/>
      <c r="BI574" s="47"/>
      <c r="BJ574" s="47"/>
    </row>
    <row r="575" spans="60:62" ht="15.75">
      <c r="BH575" s="47"/>
      <c r="BI575" s="47"/>
      <c r="BJ575" s="47"/>
    </row>
    <row r="576" spans="60:62" ht="15.75">
      <c r="BH576" s="47"/>
      <c r="BI576" s="47"/>
      <c r="BJ576" s="47"/>
    </row>
    <row r="577" spans="60:62" ht="15.75">
      <c r="BH577" s="47"/>
      <c r="BI577" s="47"/>
      <c r="BJ577" s="47"/>
    </row>
    <row r="578" spans="60:62" ht="15.75">
      <c r="BH578" s="47"/>
      <c r="BI578" s="47"/>
      <c r="BJ578" s="47"/>
    </row>
    <row r="579" spans="60:62" ht="15.75">
      <c r="BH579" s="47"/>
      <c r="BI579" s="47"/>
      <c r="BJ579" s="47"/>
    </row>
    <row r="580" spans="60:62" ht="15.75">
      <c r="BH580" s="47"/>
      <c r="BI580" s="47"/>
      <c r="BJ580" s="47"/>
    </row>
    <row r="581" spans="60:62" ht="15.75">
      <c r="BH581" s="47"/>
      <c r="BI581" s="47"/>
      <c r="BJ581" s="47"/>
    </row>
    <row r="582" spans="60:62" ht="15.75">
      <c r="BH582" s="47"/>
      <c r="BI582" s="47"/>
      <c r="BJ582" s="47"/>
    </row>
    <row r="583" spans="60:62" ht="15.75">
      <c r="BH583" s="47"/>
      <c r="BI583" s="47"/>
      <c r="BJ583" s="47"/>
    </row>
    <row r="584" spans="60:62" ht="15.75">
      <c r="BH584" s="47"/>
      <c r="BI584" s="47"/>
      <c r="BJ584" s="47"/>
    </row>
    <row r="585" spans="60:62" ht="15.75">
      <c r="BH585" s="47"/>
      <c r="BI585" s="47"/>
      <c r="BJ585" s="47"/>
    </row>
    <row r="586" spans="60:62" ht="15.75">
      <c r="BH586" s="47"/>
      <c r="BI586" s="47"/>
      <c r="BJ586" s="47"/>
    </row>
    <row r="587" spans="60:62" ht="15.75">
      <c r="BH587" s="47"/>
      <c r="BI587" s="47"/>
      <c r="BJ587" s="47"/>
    </row>
    <row r="588" spans="60:62" ht="15.75">
      <c r="BH588" s="47"/>
      <c r="BI588" s="47"/>
      <c r="BJ588" s="47"/>
    </row>
    <row r="589" spans="60:62" ht="15.75">
      <c r="BH589" s="47"/>
      <c r="BI589" s="47"/>
      <c r="BJ589" s="47"/>
    </row>
    <row r="590" spans="60:62" ht="15.75">
      <c r="BH590" s="47"/>
      <c r="BI590" s="47"/>
      <c r="BJ590" s="47"/>
    </row>
    <row r="591" spans="60:62" ht="15.75">
      <c r="BH591" s="47"/>
      <c r="BI591" s="47"/>
      <c r="BJ591" s="47"/>
    </row>
    <row r="592" spans="60:62" ht="15.75">
      <c r="BH592" s="47"/>
      <c r="BI592" s="47"/>
      <c r="BJ592" s="47"/>
    </row>
    <row r="593" spans="60:62" ht="15.75">
      <c r="BH593" s="47"/>
      <c r="BI593" s="47"/>
      <c r="BJ593" s="47"/>
    </row>
    <row r="594" spans="60:62" ht="15.75">
      <c r="BH594" s="47"/>
      <c r="BI594" s="47"/>
      <c r="BJ594" s="47"/>
    </row>
    <row r="595" spans="60:62" ht="15.75">
      <c r="BH595" s="47"/>
      <c r="BI595" s="47"/>
      <c r="BJ595" s="47"/>
    </row>
    <row r="596" spans="60:62" ht="15.75">
      <c r="BH596" s="47"/>
      <c r="BI596" s="47"/>
      <c r="BJ596" s="47"/>
    </row>
    <row r="597" spans="60:62" ht="15.75">
      <c r="BH597" s="47"/>
      <c r="BI597" s="47"/>
      <c r="BJ597" s="47"/>
    </row>
    <row r="598" spans="60:62" ht="15.75">
      <c r="BH598" s="47"/>
      <c r="BI598" s="47"/>
      <c r="BJ598" s="47"/>
    </row>
    <row r="599" spans="60:62" ht="15.75">
      <c r="BH599" s="47"/>
      <c r="BI599" s="47"/>
      <c r="BJ599" s="47"/>
    </row>
    <row r="600" spans="60:62" ht="15.75">
      <c r="BH600" s="47"/>
      <c r="BI600" s="47"/>
      <c r="BJ600" s="47"/>
    </row>
    <row r="601" spans="60:62" ht="15.75">
      <c r="BH601" s="47"/>
      <c r="BI601" s="47"/>
      <c r="BJ601" s="47"/>
    </row>
    <row r="602" spans="60:62" ht="15.75">
      <c r="BH602" s="47"/>
      <c r="BI602" s="47"/>
      <c r="BJ602" s="47"/>
    </row>
    <row r="603" spans="60:62" ht="15.75">
      <c r="BH603" s="47"/>
      <c r="BI603" s="47"/>
      <c r="BJ603" s="47"/>
    </row>
    <row r="604" spans="60:62" ht="15.75">
      <c r="BH604" s="47"/>
      <c r="BI604" s="47"/>
      <c r="BJ604" s="47"/>
    </row>
    <row r="605" spans="60:62" ht="15.75">
      <c r="BH605" s="47"/>
      <c r="BI605" s="47"/>
      <c r="BJ605" s="47"/>
    </row>
    <row r="606" spans="60:62" ht="15.75">
      <c r="BH606" s="47"/>
      <c r="BI606" s="47"/>
      <c r="BJ606" s="47"/>
    </row>
    <row r="607" spans="60:62" ht="15.75">
      <c r="BH607" s="47"/>
      <c r="BI607" s="47"/>
      <c r="BJ607" s="47"/>
    </row>
    <row r="608" spans="60:62" ht="15.75">
      <c r="BH608" s="47"/>
      <c r="BI608" s="47"/>
      <c r="BJ608" s="47"/>
    </row>
    <row r="609" spans="60:62" ht="15.75">
      <c r="BH609" s="47"/>
      <c r="BI609" s="47"/>
      <c r="BJ609" s="47"/>
    </row>
    <row r="610" spans="60:62" ht="15.75">
      <c r="BH610" s="47"/>
      <c r="BI610" s="47"/>
      <c r="BJ610" s="47"/>
    </row>
    <row r="611" spans="60:62" ht="15.75">
      <c r="BH611" s="47"/>
      <c r="BI611" s="47"/>
      <c r="BJ611" s="47"/>
    </row>
    <row r="612" spans="60:62" ht="15.75">
      <c r="BH612" s="47"/>
      <c r="BI612" s="47"/>
      <c r="BJ612" s="47"/>
    </row>
    <row r="613" spans="60:62" ht="15.75">
      <c r="BH613" s="47"/>
      <c r="BI613" s="47"/>
      <c r="BJ613" s="47"/>
    </row>
    <row r="614" spans="60:62" ht="15.75">
      <c r="BH614" s="47"/>
      <c r="BI614" s="47"/>
      <c r="BJ614" s="47"/>
    </row>
    <row r="615" spans="60:62" ht="15.75">
      <c r="BH615" s="47"/>
      <c r="BI615" s="47"/>
      <c r="BJ615" s="47"/>
    </row>
    <row r="616" spans="60:62" ht="15.75">
      <c r="BH616" s="47"/>
      <c r="BI616" s="47"/>
      <c r="BJ616" s="47"/>
    </row>
    <row r="617" spans="60:62" ht="15.75">
      <c r="BH617" s="47"/>
      <c r="BI617" s="47"/>
      <c r="BJ617" s="47"/>
    </row>
    <row r="618" spans="60:62" ht="15.75">
      <c r="BH618" s="47"/>
      <c r="BI618" s="47"/>
      <c r="BJ618" s="47"/>
    </row>
    <row r="619" spans="60:62" ht="15.75">
      <c r="BH619" s="47"/>
      <c r="BI619" s="47"/>
      <c r="BJ619" s="47"/>
    </row>
    <row r="620" spans="60:62" ht="15.75">
      <c r="BH620" s="47"/>
      <c r="BI620" s="47"/>
      <c r="BJ620" s="47"/>
    </row>
    <row r="621" spans="60:62" ht="15.75">
      <c r="BH621" s="47"/>
      <c r="BI621" s="47"/>
      <c r="BJ621" s="47"/>
    </row>
    <row r="622" spans="60:62" ht="15.75">
      <c r="BH622" s="47"/>
      <c r="BI622" s="47"/>
      <c r="BJ622" s="47"/>
    </row>
    <row r="623" spans="60:62" ht="15.75">
      <c r="BH623" s="47"/>
      <c r="BI623" s="47"/>
      <c r="BJ623" s="47"/>
    </row>
    <row r="624" spans="60:62" ht="15.75">
      <c r="BH624" s="47"/>
      <c r="BI624" s="47"/>
      <c r="BJ624" s="47"/>
    </row>
    <row r="625" spans="60:62" ht="15.75">
      <c r="BH625" s="47"/>
      <c r="BI625" s="47"/>
      <c r="BJ625" s="47"/>
    </row>
    <row r="626" spans="60:62" ht="15.75">
      <c r="BH626" s="47"/>
      <c r="BI626" s="47"/>
      <c r="BJ626" s="47"/>
    </row>
    <row r="627" spans="60:62" ht="15.75">
      <c r="BH627" s="47"/>
      <c r="BI627" s="47"/>
      <c r="BJ627" s="47"/>
    </row>
    <row r="628" spans="60:62" ht="15.75">
      <c r="BH628" s="47"/>
      <c r="BI628" s="47"/>
      <c r="BJ628" s="47"/>
    </row>
    <row r="629" spans="60:62" ht="15.75">
      <c r="BH629" s="47"/>
      <c r="BI629" s="47"/>
      <c r="BJ629" s="47"/>
    </row>
    <row r="630" spans="60:62" ht="15.75">
      <c r="BH630" s="47"/>
      <c r="BI630" s="47"/>
      <c r="BJ630" s="47"/>
    </row>
    <row r="631" spans="60:62" ht="15.75">
      <c r="BH631" s="47"/>
      <c r="BI631" s="47"/>
      <c r="BJ631" s="47"/>
    </row>
    <row r="632" spans="60:62" ht="15.75">
      <c r="BH632" s="47"/>
      <c r="BI632" s="47"/>
      <c r="BJ632" s="47"/>
    </row>
    <row r="633" spans="60:62" ht="15.75">
      <c r="BH633" s="47"/>
      <c r="BI633" s="47"/>
      <c r="BJ633" s="47"/>
    </row>
    <row r="634" spans="60:62" ht="15.75">
      <c r="BH634" s="47"/>
      <c r="BI634" s="47"/>
      <c r="BJ634" s="47"/>
    </row>
    <row r="635" spans="60:62" ht="15.75">
      <c r="BH635" s="47"/>
      <c r="BI635" s="47"/>
      <c r="BJ635" s="47"/>
    </row>
    <row r="636" spans="60:62" ht="15.75">
      <c r="BH636" s="47"/>
      <c r="BI636" s="47"/>
      <c r="BJ636" s="47"/>
    </row>
    <row r="637" spans="60:62" ht="15.75">
      <c r="BH637" s="47"/>
      <c r="BI637" s="47"/>
      <c r="BJ637" s="47"/>
    </row>
    <row r="638" spans="60:62" ht="15.75">
      <c r="BH638" s="47"/>
      <c r="BI638" s="47"/>
      <c r="BJ638" s="47"/>
    </row>
    <row r="639" spans="60:62" ht="15.75">
      <c r="BH639" s="47"/>
      <c r="BI639" s="47"/>
      <c r="BJ639" s="47"/>
    </row>
    <row r="640" spans="60:62" ht="15.75">
      <c r="BH640" s="47"/>
      <c r="BI640" s="47"/>
      <c r="BJ640" s="47"/>
    </row>
    <row r="641" spans="60:62" ht="15.75">
      <c r="BH641" s="47"/>
      <c r="BI641" s="47"/>
      <c r="BJ641" s="47"/>
    </row>
    <row r="642" spans="60:62" ht="15.75">
      <c r="BH642" s="47"/>
      <c r="BI642" s="47"/>
      <c r="BJ642" s="47"/>
    </row>
    <row r="643" spans="60:62" ht="15.75">
      <c r="BH643" s="47"/>
      <c r="BI643" s="47"/>
      <c r="BJ643" s="47"/>
    </row>
    <row r="644" spans="60:62" ht="15.75">
      <c r="BH644" s="47"/>
      <c r="BI644" s="47"/>
      <c r="BJ644" s="47"/>
    </row>
    <row r="645" spans="60:62" ht="15.75">
      <c r="BH645" s="47"/>
      <c r="BI645" s="47"/>
      <c r="BJ645" s="47"/>
    </row>
    <row r="646" spans="60:62" ht="15.75">
      <c r="BH646" s="47"/>
      <c r="BI646" s="47"/>
      <c r="BJ646" s="47"/>
    </row>
    <row r="647" spans="60:62" ht="15.75">
      <c r="BH647" s="47"/>
      <c r="BI647" s="47"/>
      <c r="BJ647" s="47"/>
    </row>
    <row r="648" spans="60:62" ht="15.75">
      <c r="BH648" s="47"/>
      <c r="BI648" s="47"/>
      <c r="BJ648" s="47"/>
    </row>
    <row r="649" spans="60:62" ht="15.75">
      <c r="BH649" s="47"/>
      <c r="BI649" s="47"/>
      <c r="BJ649" s="47"/>
    </row>
    <row r="650" spans="60:62" ht="15.75">
      <c r="BH650" s="47"/>
      <c r="BI650" s="47"/>
      <c r="BJ650" s="47"/>
    </row>
    <row r="651" spans="60:62" ht="15.75">
      <c r="BH651" s="47"/>
      <c r="BI651" s="47"/>
      <c r="BJ651" s="47"/>
    </row>
    <row r="652" spans="60:62" ht="15.75">
      <c r="BH652" s="47"/>
      <c r="BI652" s="47"/>
      <c r="BJ652" s="47"/>
    </row>
    <row r="653" spans="60:62" ht="15.75">
      <c r="BH653" s="47"/>
      <c r="BI653" s="47"/>
      <c r="BJ653" s="47"/>
    </row>
    <row r="654" spans="60:62" ht="15.75">
      <c r="BH654" s="47"/>
      <c r="BI654" s="47"/>
      <c r="BJ654" s="47"/>
    </row>
    <row r="655" spans="60:62" ht="15.75">
      <c r="BH655" s="47"/>
      <c r="BI655" s="47"/>
      <c r="BJ655" s="47"/>
    </row>
    <row r="656" spans="60:62" ht="15.75">
      <c r="BH656" s="47"/>
      <c r="BI656" s="47"/>
      <c r="BJ656" s="47"/>
    </row>
    <row r="657" spans="60:62" ht="15.75">
      <c r="BH657" s="47"/>
      <c r="BI657" s="47"/>
      <c r="BJ657" s="47"/>
    </row>
    <row r="658" spans="60:62" ht="15.75">
      <c r="BH658" s="47"/>
      <c r="BI658" s="47"/>
      <c r="BJ658" s="47"/>
    </row>
    <row r="659" spans="60:62" ht="15.75">
      <c r="BH659" s="47"/>
      <c r="BI659" s="47"/>
      <c r="BJ659" s="47"/>
    </row>
    <row r="660" spans="60:62" ht="15.75">
      <c r="BH660" s="47"/>
      <c r="BI660" s="47"/>
      <c r="BJ660" s="47"/>
    </row>
    <row r="661" spans="60:62" ht="15.75">
      <c r="BH661" s="47"/>
      <c r="BI661" s="47"/>
      <c r="BJ661" s="47"/>
    </row>
    <row r="662" spans="60:62" ht="15.75">
      <c r="BH662" s="47"/>
      <c r="BI662" s="47"/>
      <c r="BJ662" s="47"/>
    </row>
    <row r="663" spans="60:62" ht="15.75">
      <c r="BH663" s="47"/>
      <c r="BI663" s="47"/>
      <c r="BJ663" s="47"/>
    </row>
    <row r="664" spans="60:62" ht="15.75">
      <c r="BH664" s="47"/>
      <c r="BI664" s="47"/>
      <c r="BJ664" s="47"/>
    </row>
    <row r="665" spans="60:62" ht="15.75">
      <c r="BH665" s="47"/>
      <c r="BI665" s="47"/>
      <c r="BJ665" s="47"/>
    </row>
    <row r="666" spans="60:62" ht="15.75">
      <c r="BH666" s="47"/>
      <c r="BI666" s="47"/>
      <c r="BJ666" s="47"/>
    </row>
    <row r="667" spans="60:62" ht="15.75">
      <c r="BH667" s="47"/>
      <c r="BI667" s="47"/>
      <c r="BJ667" s="47"/>
    </row>
    <row r="668" spans="60:62" ht="15.75">
      <c r="BH668" s="47"/>
      <c r="BI668" s="47"/>
      <c r="BJ668" s="47"/>
    </row>
    <row r="669" spans="60:62" ht="15.75">
      <c r="BH669" s="47"/>
      <c r="BI669" s="47"/>
      <c r="BJ669" s="47"/>
    </row>
    <row r="670" spans="60:62" ht="15.75">
      <c r="BH670" s="47"/>
      <c r="BI670" s="47"/>
      <c r="BJ670" s="47"/>
    </row>
    <row r="671" spans="60:62" ht="15.75">
      <c r="BH671" s="47"/>
      <c r="BI671" s="47"/>
      <c r="BJ671" s="47"/>
    </row>
    <row r="672" spans="60:62" ht="15.75">
      <c r="BH672" s="47"/>
      <c r="BI672" s="47"/>
      <c r="BJ672" s="47"/>
    </row>
    <row r="673" spans="60:62" ht="15.75">
      <c r="BH673" s="47"/>
      <c r="BI673" s="47"/>
      <c r="BJ673" s="47"/>
    </row>
    <row r="674" spans="60:62" ht="15.75">
      <c r="BH674" s="47"/>
      <c r="BI674" s="47"/>
      <c r="BJ674" s="47"/>
    </row>
    <row r="675" spans="60:62" ht="15.75">
      <c r="BH675" s="47"/>
      <c r="BI675" s="47"/>
      <c r="BJ675" s="47"/>
    </row>
    <row r="676" spans="60:62" ht="15.75">
      <c r="BH676" s="47"/>
      <c r="BI676" s="47"/>
      <c r="BJ676" s="47"/>
    </row>
    <row r="677" spans="60:62" ht="15.75">
      <c r="BH677" s="47"/>
      <c r="BI677" s="47"/>
      <c r="BJ677" s="47"/>
    </row>
    <row r="678" spans="60:62" ht="15.75">
      <c r="BH678" s="47"/>
      <c r="BI678" s="47"/>
      <c r="BJ678" s="47"/>
    </row>
    <row r="679" spans="60:62" ht="15.75">
      <c r="BH679" s="47"/>
      <c r="BI679" s="47"/>
      <c r="BJ679" s="47"/>
    </row>
    <row r="680" spans="60:62" ht="15.75">
      <c r="BH680" s="47"/>
      <c r="BI680" s="47"/>
      <c r="BJ680" s="47"/>
    </row>
    <row r="681" spans="60:62" ht="15.75">
      <c r="BH681" s="47"/>
      <c r="BI681" s="47"/>
      <c r="BJ681" s="47"/>
    </row>
    <row r="682" spans="60:62" ht="15.75">
      <c r="BH682" s="47"/>
      <c r="BI682" s="47"/>
      <c r="BJ682" s="47"/>
    </row>
    <row r="683" spans="60:62" ht="15.75">
      <c r="BH683" s="47"/>
      <c r="BI683" s="47"/>
      <c r="BJ683" s="47"/>
    </row>
    <row r="684" spans="60:62" ht="15.75">
      <c r="BH684" s="47"/>
      <c r="BI684" s="47"/>
      <c r="BJ684" s="47"/>
    </row>
    <row r="685" spans="60:62" ht="15.75">
      <c r="BH685" s="47"/>
      <c r="BI685" s="47"/>
      <c r="BJ685" s="47"/>
    </row>
    <row r="686" spans="60:62" ht="15.75">
      <c r="BH686" s="47"/>
      <c r="BI686" s="47"/>
      <c r="BJ686" s="47"/>
    </row>
    <row r="687" spans="60:62" ht="15.75">
      <c r="BH687" s="47"/>
      <c r="BI687" s="47"/>
      <c r="BJ687" s="47"/>
    </row>
    <row r="688" spans="60:62" ht="15.75">
      <c r="BH688" s="47"/>
      <c r="BI688" s="47"/>
      <c r="BJ688" s="47"/>
    </row>
    <row r="689" spans="60:62" ht="15.75">
      <c r="BH689" s="47"/>
      <c r="BI689" s="47"/>
      <c r="BJ689" s="47"/>
    </row>
    <row r="690" spans="60:62" ht="15.75">
      <c r="BH690" s="47"/>
      <c r="BI690" s="47"/>
      <c r="BJ690" s="47"/>
    </row>
    <row r="691" spans="60:62" ht="15.75">
      <c r="BH691" s="47"/>
      <c r="BI691" s="47"/>
      <c r="BJ691" s="47"/>
    </row>
    <row r="692" spans="60:62" ht="15.75">
      <c r="BH692" s="47"/>
      <c r="BI692" s="47"/>
      <c r="BJ692" s="47"/>
    </row>
    <row r="693" spans="60:62" ht="15.75">
      <c r="BH693" s="47"/>
      <c r="BI693" s="47"/>
      <c r="BJ693" s="47"/>
    </row>
    <row r="694" spans="60:62" ht="15.75">
      <c r="BH694" s="47"/>
      <c r="BI694" s="47"/>
      <c r="BJ694" s="47"/>
    </row>
    <row r="695" spans="60:62" ht="15.75">
      <c r="BH695" s="47"/>
      <c r="BI695" s="47"/>
      <c r="BJ695" s="47"/>
    </row>
    <row r="696" spans="60:62" ht="15.75">
      <c r="BH696" s="47"/>
      <c r="BI696" s="47"/>
      <c r="BJ696" s="47"/>
    </row>
    <row r="697" spans="60:62" ht="15.75">
      <c r="BH697" s="47"/>
      <c r="BI697" s="47"/>
      <c r="BJ697" s="47"/>
    </row>
    <row r="698" spans="60:62" ht="15.75">
      <c r="BH698" s="47"/>
      <c r="BI698" s="47"/>
      <c r="BJ698" s="47"/>
    </row>
    <row r="699" spans="60:62" ht="15.75">
      <c r="BH699" s="47"/>
      <c r="BI699" s="47"/>
      <c r="BJ699" s="47"/>
    </row>
    <row r="700" spans="60:62" ht="15.75">
      <c r="BH700" s="47"/>
      <c r="BI700" s="47"/>
      <c r="BJ700" s="47"/>
    </row>
    <row r="701" spans="60:62" ht="15.75">
      <c r="BH701" s="47"/>
      <c r="BI701" s="47"/>
      <c r="BJ701" s="47"/>
    </row>
    <row r="702" spans="60:62" ht="15.75">
      <c r="BH702" s="47"/>
      <c r="BI702" s="47"/>
      <c r="BJ702" s="47"/>
    </row>
    <row r="703" spans="60:62" ht="15.75">
      <c r="BH703" s="47"/>
      <c r="BI703" s="47"/>
      <c r="BJ703" s="47"/>
    </row>
    <row r="704" spans="60:62" ht="15.75">
      <c r="BH704" s="47"/>
      <c r="BI704" s="47"/>
      <c r="BJ704" s="47"/>
    </row>
    <row r="705" spans="60:62" ht="15.75">
      <c r="BH705" s="47"/>
      <c r="BI705" s="47"/>
      <c r="BJ705" s="47"/>
    </row>
    <row r="706" spans="60:62" ht="15.75">
      <c r="BH706" s="47"/>
      <c r="BI706" s="47"/>
      <c r="BJ706" s="47"/>
    </row>
    <row r="707" spans="60:62" ht="15.75">
      <c r="BH707" s="47"/>
      <c r="BI707" s="47"/>
      <c r="BJ707" s="47"/>
    </row>
    <row r="708" spans="60:62" ht="15.75">
      <c r="BH708" s="47"/>
      <c r="BI708" s="47"/>
      <c r="BJ708" s="47"/>
    </row>
    <row r="709" spans="60:62" ht="15.75">
      <c r="BH709" s="47"/>
      <c r="BI709" s="47"/>
      <c r="BJ709" s="47"/>
    </row>
    <row r="710" spans="60:62" ht="15.75">
      <c r="BH710" s="47"/>
      <c r="BI710" s="47"/>
      <c r="BJ710" s="47"/>
    </row>
    <row r="711" spans="60:62" ht="15.75">
      <c r="BH711" s="47"/>
      <c r="BI711" s="47"/>
      <c r="BJ711" s="47"/>
    </row>
    <row r="712" spans="60:62" ht="15.75">
      <c r="BH712" s="47"/>
      <c r="BI712" s="47"/>
      <c r="BJ712" s="47"/>
    </row>
    <row r="713" spans="60:62" ht="15.75">
      <c r="BH713" s="47"/>
      <c r="BI713" s="47"/>
      <c r="BJ713" s="47"/>
    </row>
    <row r="714" spans="60:62" ht="15.75">
      <c r="BH714" s="47"/>
      <c r="BI714" s="47"/>
      <c r="BJ714" s="47"/>
    </row>
    <row r="715" spans="60:62" ht="15.75">
      <c r="BH715" s="47"/>
      <c r="BI715" s="47"/>
      <c r="BJ715" s="47"/>
    </row>
    <row r="716" spans="60:62" ht="15.75">
      <c r="BH716" s="47"/>
      <c r="BI716" s="47"/>
      <c r="BJ716" s="47"/>
    </row>
    <row r="717" spans="60:62" ht="15.75">
      <c r="BH717" s="47"/>
      <c r="BI717" s="47"/>
      <c r="BJ717" s="47"/>
    </row>
    <row r="718" spans="60:62" ht="15.75">
      <c r="BH718" s="47"/>
      <c r="BI718" s="47"/>
      <c r="BJ718" s="47"/>
    </row>
    <row r="719" spans="60:62" ht="15.75">
      <c r="BH719" s="47"/>
      <c r="BI719" s="47"/>
      <c r="BJ719" s="47"/>
    </row>
    <row r="720" spans="60:62" ht="15.75">
      <c r="BH720" s="47"/>
      <c r="BI720" s="47"/>
      <c r="BJ720" s="47"/>
    </row>
    <row r="721" spans="60:62" ht="15.75">
      <c r="BH721" s="47"/>
      <c r="BI721" s="47"/>
      <c r="BJ721" s="47"/>
    </row>
    <row r="722" spans="60:62" ht="15.75">
      <c r="BH722" s="47"/>
      <c r="BI722" s="47"/>
      <c r="BJ722" s="47"/>
    </row>
    <row r="723" spans="60:62" ht="15.75">
      <c r="BH723" s="47"/>
      <c r="BI723" s="47"/>
      <c r="BJ723" s="47"/>
    </row>
    <row r="724" spans="60:62" ht="15.75">
      <c r="BH724" s="47"/>
      <c r="BI724" s="47"/>
      <c r="BJ724" s="47"/>
    </row>
    <row r="725" spans="60:62" ht="15.75">
      <c r="BH725" s="47"/>
      <c r="BI725" s="47"/>
      <c r="BJ725" s="47"/>
    </row>
    <row r="726" spans="60:62" ht="15.75">
      <c r="BH726" s="47"/>
      <c r="BI726" s="47"/>
      <c r="BJ726" s="47"/>
    </row>
    <row r="727" spans="60:62" ht="15.75">
      <c r="BH727" s="47"/>
      <c r="BI727" s="47"/>
      <c r="BJ727" s="47"/>
    </row>
    <row r="728" spans="60:62" ht="15.75">
      <c r="BH728" s="47"/>
      <c r="BI728" s="47"/>
      <c r="BJ728" s="47"/>
    </row>
    <row r="729" spans="60:62" ht="15.75">
      <c r="BH729" s="47"/>
      <c r="BI729" s="47"/>
      <c r="BJ729" s="47"/>
    </row>
    <row r="730" spans="60:62" ht="15.75">
      <c r="BH730" s="47"/>
      <c r="BI730" s="47"/>
      <c r="BJ730" s="47"/>
    </row>
    <row r="731" spans="60:62" ht="15.75">
      <c r="BH731" s="47"/>
      <c r="BI731" s="47"/>
      <c r="BJ731" s="47"/>
    </row>
    <row r="732" spans="60:62" ht="15.75">
      <c r="BH732" s="47"/>
      <c r="BI732" s="47"/>
      <c r="BJ732" s="47"/>
    </row>
    <row r="733" spans="60:62" ht="15.75">
      <c r="BH733" s="47"/>
      <c r="BI733" s="47"/>
      <c r="BJ733" s="47"/>
    </row>
    <row r="734" spans="60:62" ht="15.75">
      <c r="BH734" s="47"/>
      <c r="BI734" s="47"/>
      <c r="BJ734" s="47"/>
    </row>
    <row r="735" spans="60:62" ht="15.75">
      <c r="BH735" s="47"/>
      <c r="BI735" s="47"/>
      <c r="BJ735" s="47"/>
    </row>
    <row r="736" spans="60:62" ht="15.75">
      <c r="BH736" s="47"/>
      <c r="BI736" s="47"/>
      <c r="BJ736" s="47"/>
    </row>
    <row r="737" spans="60:62" ht="15.75">
      <c r="BH737" s="47"/>
      <c r="BI737" s="47"/>
      <c r="BJ737" s="47"/>
    </row>
    <row r="738" spans="60:62" ht="15.75">
      <c r="BH738" s="47"/>
      <c r="BI738" s="47"/>
      <c r="BJ738" s="47"/>
    </row>
    <row r="739" spans="60:62" ht="15.75">
      <c r="BH739" s="47"/>
      <c r="BI739" s="47"/>
      <c r="BJ739" s="47"/>
    </row>
    <row r="740" spans="60:62" ht="15.75">
      <c r="BH740" s="47"/>
      <c r="BI740" s="47"/>
      <c r="BJ740" s="47"/>
    </row>
    <row r="741" spans="60:62" ht="15.75">
      <c r="BH741" s="47"/>
      <c r="BI741" s="47"/>
      <c r="BJ741" s="47"/>
    </row>
    <row r="742" spans="60:62" ht="15.75">
      <c r="BH742" s="47"/>
      <c r="BI742" s="47"/>
      <c r="BJ742" s="47"/>
    </row>
    <row r="743" spans="60:62" ht="15.75">
      <c r="BH743" s="47"/>
      <c r="BI743" s="47"/>
      <c r="BJ743" s="47"/>
    </row>
    <row r="744" spans="60:62" ht="15.75">
      <c r="BH744" s="47"/>
      <c r="BI744" s="47"/>
      <c r="BJ744" s="47"/>
    </row>
    <row r="745" spans="60:62" ht="15.75">
      <c r="BH745" s="47"/>
      <c r="BI745" s="47"/>
      <c r="BJ745" s="47"/>
    </row>
    <row r="746" spans="60:62" ht="15.75">
      <c r="BH746" s="47"/>
      <c r="BI746" s="47"/>
      <c r="BJ746" s="47"/>
    </row>
    <row r="747" spans="60:62" ht="15.75">
      <c r="BH747" s="47"/>
      <c r="BI747" s="47"/>
      <c r="BJ747" s="47"/>
    </row>
    <row r="748" spans="60:62" ht="15.75">
      <c r="BH748" s="47"/>
      <c r="BI748" s="47"/>
      <c r="BJ748" s="47"/>
    </row>
    <row r="749" spans="60:62" ht="15.75">
      <c r="BH749" s="47"/>
      <c r="BI749" s="47"/>
      <c r="BJ749" s="47"/>
    </row>
    <row r="750" spans="60:62" ht="15.75">
      <c r="BH750" s="47"/>
      <c r="BI750" s="47"/>
      <c r="BJ750" s="47"/>
    </row>
    <row r="751" spans="60:62" ht="15.75">
      <c r="BH751" s="47"/>
      <c r="BI751" s="47"/>
      <c r="BJ751" s="47"/>
    </row>
    <row r="752" spans="60:62" ht="15.75">
      <c r="BH752" s="47"/>
      <c r="BI752" s="47"/>
      <c r="BJ752" s="47"/>
    </row>
    <row r="753" spans="60:62" ht="15.75">
      <c r="BH753" s="47"/>
      <c r="BI753" s="47"/>
      <c r="BJ753" s="47"/>
    </row>
    <row r="754" spans="60:62" ht="15.75">
      <c r="BH754" s="47"/>
      <c r="BI754" s="47"/>
      <c r="BJ754" s="47"/>
    </row>
    <row r="755" spans="60:62" ht="15.75">
      <c r="BH755" s="47"/>
      <c r="BI755" s="47"/>
      <c r="BJ755" s="47"/>
    </row>
    <row r="756" spans="60:62" ht="15.75">
      <c r="BH756" s="47"/>
      <c r="BI756" s="47"/>
      <c r="BJ756" s="47"/>
    </row>
    <row r="757" spans="60:62" ht="15.75">
      <c r="BH757" s="47"/>
      <c r="BI757" s="47"/>
      <c r="BJ757" s="47"/>
    </row>
    <row r="758" spans="60:62" ht="15.75">
      <c r="BH758" s="47"/>
      <c r="BI758" s="47"/>
      <c r="BJ758" s="47"/>
    </row>
    <row r="759" spans="60:62" ht="15.75">
      <c r="BH759" s="47"/>
      <c r="BI759" s="47"/>
      <c r="BJ759" s="47"/>
    </row>
    <row r="760" spans="60:62" ht="15.75">
      <c r="BH760" s="47"/>
      <c r="BI760" s="47"/>
      <c r="BJ760" s="47"/>
    </row>
    <row r="761" spans="60:62" ht="15.75">
      <c r="BH761" s="47"/>
      <c r="BI761" s="47"/>
      <c r="BJ761" s="47"/>
    </row>
    <row r="762" spans="60:62" ht="15.75">
      <c r="BH762" s="47"/>
      <c r="BI762" s="47"/>
      <c r="BJ762" s="47"/>
    </row>
    <row r="763" spans="60:62" ht="15.75">
      <c r="BH763" s="47"/>
      <c r="BI763" s="47"/>
      <c r="BJ763" s="47"/>
    </row>
    <row r="764" spans="60:62" ht="15.75">
      <c r="BH764" s="47"/>
      <c r="BI764" s="47"/>
      <c r="BJ764" s="47"/>
    </row>
    <row r="765" spans="60:62" ht="15.75">
      <c r="BH765" s="47"/>
      <c r="BI765" s="47"/>
      <c r="BJ765" s="47"/>
    </row>
    <row r="766" spans="60:62" ht="15.75">
      <c r="BH766" s="47"/>
      <c r="BI766" s="47"/>
      <c r="BJ766" s="47"/>
    </row>
    <row r="767" spans="60:62" ht="15.75">
      <c r="BH767" s="47"/>
      <c r="BI767" s="47"/>
      <c r="BJ767" s="47"/>
    </row>
    <row r="768" spans="60:62" ht="15.75">
      <c r="BH768" s="47"/>
      <c r="BI768" s="47"/>
      <c r="BJ768" s="47"/>
    </row>
    <row r="769" spans="60:62" ht="15.75">
      <c r="BH769" s="47"/>
      <c r="BI769" s="47"/>
      <c r="BJ769" s="47"/>
    </row>
    <row r="770" spans="60:62" ht="15.75">
      <c r="BH770" s="47"/>
      <c r="BI770" s="47"/>
      <c r="BJ770" s="47"/>
    </row>
    <row r="771" spans="60:62" ht="15.75">
      <c r="BH771" s="47"/>
      <c r="BI771" s="47"/>
      <c r="BJ771" s="47"/>
    </row>
    <row r="772" spans="60:62" ht="15.75">
      <c r="BH772" s="47"/>
      <c r="BI772" s="47"/>
      <c r="BJ772" s="47"/>
    </row>
    <row r="773" spans="60:62" ht="15.75">
      <c r="BH773" s="47"/>
      <c r="BI773" s="47"/>
      <c r="BJ773" s="47"/>
    </row>
    <row r="774" spans="60:62" ht="15.75">
      <c r="BH774" s="47"/>
      <c r="BI774" s="47"/>
      <c r="BJ774" s="47"/>
    </row>
    <row r="775" spans="60:62" ht="15.75">
      <c r="BH775" s="47"/>
      <c r="BI775" s="47"/>
      <c r="BJ775" s="47"/>
    </row>
    <row r="776" spans="60:62" ht="15.75">
      <c r="BH776" s="47"/>
      <c r="BI776" s="47"/>
      <c r="BJ776" s="47"/>
    </row>
    <row r="777" spans="60:62" ht="15.75">
      <c r="BH777" s="47"/>
      <c r="BI777" s="47"/>
      <c r="BJ777" s="47"/>
    </row>
    <row r="778" spans="60:62" ht="15.75">
      <c r="BH778" s="47"/>
      <c r="BI778" s="47"/>
      <c r="BJ778" s="47"/>
    </row>
    <row r="779" spans="60:62" ht="15.75">
      <c r="BH779" s="47"/>
      <c r="BI779" s="47"/>
      <c r="BJ779" s="47"/>
    </row>
    <row r="780" spans="60:62" ht="15.75">
      <c r="BH780" s="47"/>
      <c r="BI780" s="47"/>
      <c r="BJ780" s="47"/>
    </row>
    <row r="781" spans="60:62" ht="15.75">
      <c r="BH781" s="47"/>
      <c r="BI781" s="47"/>
      <c r="BJ781" s="47"/>
    </row>
    <row r="782" spans="60:62" ht="15.75">
      <c r="BH782" s="47"/>
      <c r="BI782" s="47"/>
      <c r="BJ782" s="47"/>
    </row>
    <row r="783" spans="60:62" ht="15.75">
      <c r="BH783" s="47"/>
      <c r="BI783" s="47"/>
      <c r="BJ783" s="47"/>
    </row>
    <row r="784" spans="60:62" ht="15.75">
      <c r="BH784" s="47"/>
      <c r="BI784" s="47"/>
      <c r="BJ784" s="47"/>
    </row>
    <row r="785" spans="60:62" ht="15.75">
      <c r="BH785" s="47"/>
      <c r="BI785" s="47"/>
      <c r="BJ785" s="47"/>
    </row>
    <row r="786" spans="60:62" ht="15.75">
      <c r="BH786" s="47"/>
      <c r="BI786" s="47"/>
      <c r="BJ786" s="47"/>
    </row>
    <row r="787" spans="60:62" ht="15.75">
      <c r="BH787" s="47"/>
      <c r="BI787" s="47"/>
      <c r="BJ787" s="47"/>
    </row>
    <row r="788" spans="60:62" ht="15.75">
      <c r="BH788" s="47"/>
      <c r="BI788" s="47"/>
      <c r="BJ788" s="47"/>
    </row>
    <row r="789" spans="60:62" ht="15.75">
      <c r="BH789" s="47"/>
      <c r="BI789" s="47"/>
      <c r="BJ789" s="47"/>
    </row>
    <row r="790" spans="60:62" ht="15.75">
      <c r="BH790" s="47"/>
      <c r="BI790" s="47"/>
      <c r="BJ790" s="47"/>
    </row>
    <row r="791" spans="60:62" ht="15.75">
      <c r="BH791" s="47"/>
      <c r="BI791" s="47"/>
      <c r="BJ791" s="47"/>
    </row>
    <row r="792" spans="60:62" ht="15.75">
      <c r="BH792" s="47"/>
      <c r="BI792" s="47"/>
      <c r="BJ792" s="47"/>
    </row>
    <row r="793" spans="60:62" ht="15.75">
      <c r="BH793" s="47"/>
      <c r="BI793" s="47"/>
      <c r="BJ793" s="47"/>
    </row>
    <row r="794" spans="60:62" ht="15.75">
      <c r="BH794" s="47"/>
      <c r="BI794" s="47"/>
      <c r="BJ794" s="47"/>
    </row>
    <row r="795" spans="60:62" ht="15.75">
      <c r="BH795" s="47"/>
      <c r="BI795" s="47"/>
      <c r="BJ795" s="47"/>
    </row>
    <row r="796" spans="60:62" ht="15.75">
      <c r="BH796" s="47"/>
      <c r="BI796" s="47"/>
      <c r="BJ796" s="47"/>
    </row>
    <row r="797" spans="60:62" ht="15.75">
      <c r="BH797" s="47"/>
      <c r="BI797" s="47"/>
      <c r="BJ797" s="47"/>
    </row>
    <row r="798" spans="60:62" ht="15.75">
      <c r="BH798" s="47"/>
      <c r="BI798" s="47"/>
      <c r="BJ798" s="47"/>
    </row>
    <row r="799" spans="60:62" ht="15.75">
      <c r="BH799" s="47"/>
      <c r="BI799" s="47"/>
      <c r="BJ799" s="47"/>
    </row>
    <row r="800" spans="60:62" ht="15.75">
      <c r="BH800" s="47"/>
      <c r="BI800" s="47"/>
      <c r="BJ800" s="47"/>
    </row>
    <row r="801" spans="60:62" ht="15.75">
      <c r="BH801" s="47"/>
      <c r="BI801" s="47"/>
      <c r="BJ801" s="47"/>
    </row>
    <row r="802" spans="60:62" ht="15.75">
      <c r="BH802" s="47"/>
      <c r="BI802" s="47"/>
      <c r="BJ802" s="47"/>
    </row>
    <row r="803" spans="60:62" ht="15.75">
      <c r="BH803" s="47"/>
      <c r="BI803" s="47"/>
      <c r="BJ803" s="47"/>
    </row>
    <row r="804" spans="60:62" ht="15.75">
      <c r="BH804" s="47"/>
      <c r="BI804" s="47"/>
      <c r="BJ804" s="47"/>
    </row>
    <row r="805" spans="60:62" ht="15.75">
      <c r="BH805" s="47"/>
      <c r="BI805" s="47"/>
      <c r="BJ805" s="47"/>
    </row>
    <row r="806" spans="60:62" ht="15.75">
      <c r="BH806" s="47"/>
      <c r="BI806" s="47"/>
      <c r="BJ806" s="47"/>
    </row>
    <row r="807" spans="60:62" ht="15.75">
      <c r="BH807" s="47"/>
      <c r="BI807" s="47"/>
      <c r="BJ807" s="47"/>
    </row>
    <row r="808" spans="60:62" ht="15.75">
      <c r="BH808" s="47"/>
      <c r="BI808" s="47"/>
      <c r="BJ808" s="47"/>
    </row>
    <row r="809" spans="60:62" ht="15.75">
      <c r="BH809" s="47"/>
      <c r="BI809" s="47"/>
      <c r="BJ809" s="47"/>
    </row>
    <row r="810" spans="60:62" ht="15.75">
      <c r="BH810" s="47"/>
      <c r="BI810" s="47"/>
      <c r="BJ810" s="47"/>
    </row>
    <row r="811" spans="60:62" ht="15.75">
      <c r="BH811" s="47"/>
      <c r="BI811" s="47"/>
      <c r="BJ811" s="47"/>
    </row>
    <row r="812" spans="60:62" ht="15.75">
      <c r="BH812" s="47"/>
      <c r="BI812" s="47"/>
      <c r="BJ812" s="47"/>
    </row>
    <row r="813" spans="60:62" ht="15.75">
      <c r="BH813" s="47"/>
      <c r="BI813" s="47"/>
      <c r="BJ813" s="47"/>
    </row>
    <row r="814" spans="60:62" ht="15.75">
      <c r="BH814" s="47"/>
      <c r="BI814" s="47"/>
      <c r="BJ814" s="47"/>
    </row>
    <row r="815" spans="60:62" ht="15.75">
      <c r="BH815" s="47"/>
      <c r="BI815" s="47"/>
      <c r="BJ815" s="47"/>
    </row>
    <row r="816" spans="60:62" ht="15.75">
      <c r="BH816" s="47"/>
      <c r="BI816" s="47"/>
      <c r="BJ816" s="47"/>
    </row>
    <row r="817" spans="60:62" ht="15.75">
      <c r="BH817" s="47"/>
      <c r="BI817" s="47"/>
      <c r="BJ817" s="47"/>
    </row>
    <row r="818" spans="60:62" ht="15.75">
      <c r="BH818" s="47"/>
      <c r="BI818" s="47"/>
      <c r="BJ818" s="47"/>
    </row>
    <row r="819" spans="60:62" ht="15.75">
      <c r="BH819" s="47"/>
      <c r="BI819" s="47"/>
      <c r="BJ819" s="47"/>
    </row>
    <row r="820" spans="60:62" ht="15.75">
      <c r="BH820" s="47"/>
      <c r="BI820" s="47"/>
      <c r="BJ820" s="47"/>
    </row>
    <row r="821" spans="60:62" ht="15.75">
      <c r="BH821" s="47"/>
      <c r="BI821" s="47"/>
      <c r="BJ821" s="47"/>
    </row>
    <row r="822" spans="60:62" ht="15.75">
      <c r="BH822" s="47"/>
      <c r="BI822" s="47"/>
      <c r="BJ822" s="47"/>
    </row>
    <row r="823" spans="60:62" ht="15.75">
      <c r="BH823" s="47"/>
      <c r="BI823" s="47"/>
      <c r="BJ823" s="47"/>
    </row>
    <row r="824" spans="60:62" ht="15.75">
      <c r="BH824" s="47"/>
      <c r="BI824" s="47"/>
      <c r="BJ824" s="47"/>
    </row>
    <row r="825" spans="60:62" ht="15.75">
      <c r="BH825" s="47"/>
      <c r="BI825" s="47"/>
      <c r="BJ825" s="47"/>
    </row>
    <row r="826" spans="60:62" ht="15.75">
      <c r="BH826" s="47"/>
      <c r="BI826" s="47"/>
      <c r="BJ826" s="47"/>
    </row>
    <row r="827" spans="60:62" ht="15.75">
      <c r="BH827" s="47"/>
      <c r="BI827" s="47"/>
      <c r="BJ827" s="47"/>
    </row>
    <row r="828" spans="60:62" ht="15.75">
      <c r="BH828" s="47"/>
      <c r="BI828" s="47"/>
      <c r="BJ828" s="47"/>
    </row>
    <row r="829" spans="60:62" ht="15.75">
      <c r="BH829" s="47"/>
      <c r="BI829" s="47"/>
      <c r="BJ829" s="47"/>
    </row>
    <row r="830" spans="60:62" ht="15.75">
      <c r="BH830" s="47"/>
      <c r="BI830" s="47"/>
      <c r="BJ830" s="47"/>
    </row>
    <row r="831" spans="60:62" ht="15.75">
      <c r="BH831" s="47"/>
      <c r="BI831" s="47"/>
      <c r="BJ831" s="47"/>
    </row>
    <row r="832" spans="60:62" ht="15.75">
      <c r="BH832" s="47"/>
      <c r="BI832" s="47"/>
      <c r="BJ832" s="47"/>
    </row>
    <row r="833" spans="60:62" ht="15.75">
      <c r="BH833" s="47"/>
      <c r="BI833" s="47"/>
      <c r="BJ833" s="47"/>
    </row>
    <row r="834" spans="60:62" ht="15.75">
      <c r="BH834" s="47"/>
      <c r="BI834" s="47"/>
      <c r="BJ834" s="47"/>
    </row>
    <row r="835" spans="60:62" ht="15.75">
      <c r="BH835" s="47"/>
      <c r="BI835" s="47"/>
      <c r="BJ835" s="47"/>
    </row>
    <row r="836" spans="60:62" ht="15.75">
      <c r="BH836" s="47"/>
      <c r="BI836" s="47"/>
      <c r="BJ836" s="47"/>
    </row>
    <row r="837" spans="60:62" ht="15.75">
      <c r="BH837" s="47"/>
      <c r="BI837" s="47"/>
      <c r="BJ837" s="47"/>
    </row>
    <row r="838" spans="60:62" ht="15.75">
      <c r="BH838" s="47"/>
      <c r="BI838" s="47"/>
      <c r="BJ838" s="47"/>
    </row>
    <row r="839" spans="60:62" ht="15.75">
      <c r="BH839" s="47"/>
      <c r="BI839" s="47"/>
      <c r="BJ839" s="47"/>
    </row>
    <row r="840" spans="60:62" ht="15.75">
      <c r="BH840" s="47"/>
      <c r="BI840" s="47"/>
      <c r="BJ840" s="47"/>
    </row>
    <row r="841" spans="60:62" ht="15.75">
      <c r="BH841" s="47"/>
      <c r="BI841" s="47"/>
      <c r="BJ841" s="47"/>
    </row>
    <row r="842" spans="60:62" ht="15.75">
      <c r="BH842" s="47"/>
      <c r="BI842" s="47"/>
      <c r="BJ842" s="47"/>
    </row>
    <row r="843" spans="60:62" ht="15.75">
      <c r="BH843" s="47"/>
      <c r="BI843" s="47"/>
      <c r="BJ843" s="47"/>
    </row>
    <row r="844" spans="60:62" ht="15.75">
      <c r="BH844" s="47"/>
      <c r="BI844" s="47"/>
      <c r="BJ844" s="47"/>
    </row>
    <row r="845" spans="60:62" ht="15.75">
      <c r="BH845" s="47"/>
      <c r="BI845" s="47"/>
      <c r="BJ845" s="47"/>
    </row>
    <row r="846" spans="60:62" ht="15.75">
      <c r="BH846" s="47"/>
      <c r="BI846" s="47"/>
      <c r="BJ846" s="47"/>
    </row>
    <row r="847" spans="60:62" ht="15.75">
      <c r="BH847" s="47"/>
      <c r="BI847" s="47"/>
      <c r="BJ847" s="47"/>
    </row>
    <row r="848" spans="60:62" ht="15.75">
      <c r="BH848" s="47"/>
      <c r="BI848" s="47"/>
      <c r="BJ848" s="47"/>
    </row>
    <row r="849" spans="60:62" ht="15.75">
      <c r="BH849" s="47"/>
      <c r="BI849" s="47"/>
      <c r="BJ849" s="47"/>
    </row>
    <row r="850" spans="60:62" ht="15.75">
      <c r="BH850" s="47"/>
      <c r="BI850" s="47"/>
      <c r="BJ850" s="47"/>
    </row>
    <row r="851" spans="60:62" ht="15.75">
      <c r="BH851" s="47"/>
      <c r="BI851" s="47"/>
      <c r="BJ851" s="47"/>
    </row>
    <row r="852" spans="60:62" ht="15.75">
      <c r="BH852" s="47"/>
      <c r="BI852" s="47"/>
      <c r="BJ852" s="47"/>
    </row>
    <row r="853" spans="60:62" ht="15.75">
      <c r="BH853" s="47"/>
      <c r="BI853" s="47"/>
      <c r="BJ853" s="47"/>
    </row>
    <row r="854" spans="60:62" ht="15.75">
      <c r="BH854" s="47"/>
      <c r="BI854" s="47"/>
      <c r="BJ854" s="47"/>
    </row>
    <row r="855" spans="60:62" ht="15.75">
      <c r="BH855" s="47"/>
      <c r="BI855" s="47"/>
      <c r="BJ855" s="47"/>
    </row>
    <row r="856" spans="60:62" ht="15.75">
      <c r="BH856" s="47"/>
      <c r="BI856" s="47"/>
      <c r="BJ856" s="47"/>
    </row>
    <row r="857" spans="60:62" ht="15.75">
      <c r="BH857" s="47"/>
      <c r="BI857" s="47"/>
      <c r="BJ857" s="47"/>
    </row>
    <row r="858" spans="60:62" ht="15.75">
      <c r="BH858" s="47"/>
      <c r="BI858" s="47"/>
      <c r="BJ858" s="47"/>
    </row>
    <row r="859" spans="60:62" ht="15.75">
      <c r="BH859" s="47"/>
      <c r="BI859" s="47"/>
      <c r="BJ859" s="47"/>
    </row>
    <row r="860" spans="60:62" ht="15.75">
      <c r="BH860" s="47"/>
      <c r="BI860" s="47"/>
      <c r="BJ860" s="47"/>
    </row>
    <row r="861" spans="60:62" ht="15.75">
      <c r="BH861" s="47"/>
      <c r="BI861" s="47"/>
      <c r="BJ861" s="47"/>
    </row>
    <row r="862" spans="60:62" ht="15.75">
      <c r="BH862" s="47"/>
      <c r="BI862" s="47"/>
      <c r="BJ862" s="47"/>
    </row>
    <row r="863" spans="60:62" ht="15.75">
      <c r="BH863" s="47"/>
      <c r="BI863" s="47"/>
      <c r="BJ863" s="47"/>
    </row>
    <row r="864" spans="60:62" ht="15.75">
      <c r="BH864" s="47"/>
      <c r="BI864" s="47"/>
      <c r="BJ864" s="47"/>
    </row>
    <row r="865" spans="60:62" ht="15.75">
      <c r="BH865" s="47"/>
      <c r="BI865" s="47"/>
      <c r="BJ865" s="47"/>
    </row>
    <row r="866" spans="60:62" ht="15.75">
      <c r="BH866" s="47"/>
      <c r="BI866" s="47"/>
      <c r="BJ866" s="47"/>
    </row>
    <row r="867" spans="60:62" ht="15.75">
      <c r="BH867" s="47"/>
      <c r="BI867" s="47"/>
      <c r="BJ867" s="47"/>
    </row>
    <row r="868" spans="60:62" ht="15.75">
      <c r="BH868" s="47"/>
      <c r="BI868" s="47"/>
      <c r="BJ868" s="47"/>
    </row>
    <row r="869" spans="60:62" ht="15.75">
      <c r="BH869" s="47"/>
      <c r="BI869" s="47"/>
      <c r="BJ869" s="47"/>
    </row>
    <row r="870" spans="60:62" ht="15.75">
      <c r="BH870" s="47"/>
      <c r="BI870" s="47"/>
      <c r="BJ870" s="47"/>
    </row>
    <row r="871" spans="60:62" ht="15.75">
      <c r="BH871" s="47"/>
      <c r="BI871" s="47"/>
      <c r="BJ871" s="47"/>
    </row>
    <row r="872" spans="60:62" ht="15.75">
      <c r="BH872" s="47"/>
      <c r="BI872" s="47"/>
      <c r="BJ872" s="47"/>
    </row>
    <row r="873" spans="60:62" ht="15.75">
      <c r="BH873" s="47"/>
      <c r="BI873" s="47"/>
      <c r="BJ873" s="47"/>
    </row>
    <row r="874" spans="60:62" ht="15.75">
      <c r="BH874" s="47"/>
      <c r="BI874" s="47"/>
      <c r="BJ874" s="47"/>
    </row>
    <row r="875" spans="60:62" ht="15.75">
      <c r="BH875" s="47"/>
      <c r="BI875" s="47"/>
      <c r="BJ875" s="47"/>
    </row>
    <row r="876" spans="60:62" ht="15.75">
      <c r="BH876" s="47"/>
      <c r="BI876" s="47"/>
      <c r="BJ876" s="47"/>
    </row>
    <row r="877" spans="60:62" ht="15.75">
      <c r="BH877" s="47"/>
      <c r="BI877" s="47"/>
      <c r="BJ877" s="47"/>
    </row>
    <row r="878" spans="60:62" ht="15.75">
      <c r="BH878" s="47"/>
      <c r="BI878" s="47"/>
      <c r="BJ878" s="47"/>
    </row>
    <row r="879" spans="60:62" ht="15.75">
      <c r="BH879" s="47"/>
      <c r="BI879" s="47"/>
      <c r="BJ879" s="47"/>
    </row>
    <row r="880" spans="60:62" ht="15.75">
      <c r="BH880" s="47"/>
      <c r="BI880" s="47"/>
      <c r="BJ880" s="47"/>
    </row>
    <row r="881" spans="60:62" ht="15.75">
      <c r="BH881" s="47"/>
      <c r="BI881" s="47"/>
      <c r="BJ881" s="47"/>
    </row>
    <row r="882" spans="60:62" ht="15.75">
      <c r="BH882" s="47"/>
      <c r="BI882" s="47"/>
      <c r="BJ882" s="47"/>
    </row>
    <row r="883" spans="60:62" ht="15.75">
      <c r="BH883" s="47"/>
      <c r="BI883" s="47"/>
      <c r="BJ883" s="47"/>
    </row>
    <row r="884" spans="60:62" ht="15.75">
      <c r="BH884" s="47"/>
      <c r="BI884" s="47"/>
      <c r="BJ884" s="47"/>
    </row>
    <row r="885" spans="60:62" ht="15.75">
      <c r="BH885" s="47"/>
      <c r="BI885" s="47"/>
      <c r="BJ885" s="47"/>
    </row>
    <row r="886" spans="60:62" ht="15.75">
      <c r="BH886" s="47"/>
      <c r="BI886" s="47"/>
      <c r="BJ886" s="47"/>
    </row>
    <row r="887" spans="60:62" ht="15.75">
      <c r="BH887" s="47"/>
      <c r="BI887" s="47"/>
      <c r="BJ887" s="47"/>
    </row>
    <row r="888" spans="60:62" ht="15.75">
      <c r="BH888" s="47"/>
      <c r="BI888" s="47"/>
      <c r="BJ888" s="47"/>
    </row>
    <row r="889" spans="60:62" ht="15.75">
      <c r="BH889" s="47"/>
      <c r="BI889" s="47"/>
      <c r="BJ889" s="47"/>
    </row>
    <row r="890" spans="60:62" ht="15.75">
      <c r="BH890" s="47"/>
      <c r="BI890" s="47"/>
      <c r="BJ890" s="47"/>
    </row>
    <row r="891" spans="60:62" ht="15.75">
      <c r="BH891" s="47"/>
      <c r="BI891" s="47"/>
      <c r="BJ891" s="47"/>
    </row>
    <row r="892" spans="60:62" ht="15.75">
      <c r="BH892" s="47"/>
      <c r="BI892" s="47"/>
      <c r="BJ892" s="47"/>
    </row>
    <row r="893" spans="60:62" ht="15.75">
      <c r="BH893" s="47"/>
      <c r="BI893" s="47"/>
      <c r="BJ893" s="47"/>
    </row>
    <row r="894" spans="60:62" ht="15.75">
      <c r="BH894" s="47"/>
      <c r="BI894" s="47"/>
      <c r="BJ894" s="47"/>
    </row>
    <row r="895" spans="60:62" ht="15.75">
      <c r="BH895" s="47"/>
      <c r="BI895" s="47"/>
      <c r="BJ895" s="47"/>
    </row>
    <row r="896" spans="60:62" ht="15.75">
      <c r="BH896" s="47"/>
      <c r="BI896" s="47"/>
      <c r="BJ896" s="47"/>
    </row>
    <row r="897" spans="60:62" ht="15.75">
      <c r="BH897" s="47"/>
      <c r="BI897" s="47"/>
      <c r="BJ897" s="47"/>
    </row>
    <row r="898" spans="60:62" ht="15.75">
      <c r="BH898" s="47"/>
      <c r="BI898" s="47"/>
      <c r="BJ898" s="47"/>
    </row>
    <row r="899" spans="60:62" ht="15.75">
      <c r="BH899" s="47"/>
      <c r="BI899" s="47"/>
      <c r="BJ899" s="47"/>
    </row>
    <row r="900" spans="60:62" ht="15.75">
      <c r="BH900" s="47"/>
      <c r="BI900" s="47"/>
      <c r="BJ900" s="47"/>
    </row>
    <row r="901" spans="60:62" ht="15.75">
      <c r="BH901" s="47"/>
      <c r="BI901" s="47"/>
      <c r="BJ901" s="47"/>
    </row>
    <row r="902" spans="60:62" ht="15.75">
      <c r="BH902" s="47"/>
      <c r="BI902" s="47"/>
      <c r="BJ902" s="47"/>
    </row>
    <row r="903" spans="60:62" ht="15.75">
      <c r="BH903" s="47"/>
      <c r="BI903" s="47"/>
      <c r="BJ903" s="47"/>
    </row>
    <row r="904" spans="60:62" ht="15.75">
      <c r="BH904" s="47"/>
      <c r="BI904" s="47"/>
      <c r="BJ904" s="47"/>
    </row>
    <row r="905" spans="60:62" ht="15.75">
      <c r="BH905" s="47"/>
      <c r="BI905" s="47"/>
      <c r="BJ905" s="47"/>
    </row>
    <row r="906" spans="60:62" ht="15.75">
      <c r="BH906" s="47"/>
      <c r="BI906" s="47"/>
      <c r="BJ906" s="47"/>
    </row>
    <row r="907" spans="60:62" ht="15.75">
      <c r="BH907" s="47"/>
      <c r="BI907" s="47"/>
      <c r="BJ907" s="47"/>
    </row>
    <row r="908" spans="60:62" ht="15.75">
      <c r="BH908" s="47"/>
      <c r="BI908" s="47"/>
      <c r="BJ908" s="47"/>
    </row>
    <row r="909" spans="60:62" ht="15.75">
      <c r="BH909" s="47"/>
      <c r="BI909" s="47"/>
      <c r="BJ909" s="47"/>
    </row>
    <row r="910" spans="60:62" ht="15.75">
      <c r="BH910" s="47"/>
      <c r="BI910" s="47"/>
      <c r="BJ910" s="47"/>
    </row>
    <row r="911" spans="60:62" ht="15.75">
      <c r="BH911" s="47"/>
      <c r="BI911" s="47"/>
      <c r="BJ911" s="47"/>
    </row>
    <row r="912" spans="60:62" ht="15.75">
      <c r="BH912" s="47"/>
      <c r="BI912" s="47"/>
      <c r="BJ912" s="47"/>
    </row>
    <row r="913" spans="60:62" ht="15.75">
      <c r="BH913" s="47"/>
      <c r="BI913" s="47"/>
      <c r="BJ913" s="47"/>
    </row>
    <row r="914" spans="60:62" ht="15.75">
      <c r="BH914" s="47"/>
      <c r="BI914" s="47"/>
      <c r="BJ914" s="47"/>
    </row>
    <row r="915" spans="60:62" ht="15.75">
      <c r="BH915" s="47"/>
      <c r="BI915" s="47"/>
      <c r="BJ915" s="47"/>
    </row>
    <row r="916" spans="60:62" ht="15.75">
      <c r="BH916" s="47"/>
      <c r="BI916" s="47"/>
      <c r="BJ916" s="47"/>
    </row>
    <row r="917" spans="60:62" ht="15.75">
      <c r="BH917" s="47"/>
      <c r="BI917" s="47"/>
      <c r="BJ917" s="47"/>
    </row>
    <row r="918" spans="60:62" ht="15.75">
      <c r="BH918" s="47"/>
      <c r="BI918" s="47"/>
      <c r="BJ918" s="47"/>
    </row>
    <row r="919" spans="60:62" ht="15.75">
      <c r="BH919" s="47"/>
      <c r="BI919" s="47"/>
      <c r="BJ919" s="47"/>
    </row>
    <row r="920" spans="60:62" ht="15.75">
      <c r="BH920" s="47"/>
      <c r="BI920" s="47"/>
      <c r="BJ920" s="47"/>
    </row>
    <row r="921" spans="60:62" ht="15.75">
      <c r="BH921" s="47"/>
      <c r="BI921" s="47"/>
      <c r="BJ921" s="47"/>
    </row>
    <row r="922" spans="60:62" ht="15.75">
      <c r="BH922" s="47"/>
      <c r="BI922" s="47"/>
      <c r="BJ922" s="47"/>
    </row>
    <row r="923" spans="60:62" ht="15.75">
      <c r="BH923" s="47"/>
      <c r="BI923" s="47"/>
      <c r="BJ923" s="47"/>
    </row>
    <row r="924" spans="60:62" ht="15.75">
      <c r="BH924" s="47"/>
      <c r="BI924" s="47"/>
      <c r="BJ924" s="47"/>
    </row>
    <row r="925" spans="60:62" ht="15.75">
      <c r="BH925" s="47"/>
      <c r="BI925" s="47"/>
      <c r="BJ925" s="47"/>
    </row>
    <row r="926" spans="60:62" ht="15.75">
      <c r="BH926" s="47"/>
      <c r="BI926" s="47"/>
      <c r="BJ926" s="47"/>
    </row>
    <row r="927" spans="60:62" ht="15.75">
      <c r="BH927" s="47"/>
      <c r="BI927" s="47"/>
      <c r="BJ927" s="47"/>
    </row>
    <row r="928" spans="60:62" ht="15.75">
      <c r="BH928" s="47"/>
      <c r="BI928" s="47"/>
      <c r="BJ928" s="47"/>
    </row>
    <row r="929" spans="60:62" ht="15.75">
      <c r="BH929" s="47"/>
      <c r="BI929" s="47"/>
      <c r="BJ929" s="47"/>
    </row>
    <row r="930" spans="60:62" ht="15.75">
      <c r="BH930" s="47"/>
      <c r="BI930" s="47"/>
      <c r="BJ930" s="47"/>
    </row>
    <row r="931" spans="60:62" ht="15.75">
      <c r="BH931" s="47"/>
      <c r="BI931" s="47"/>
      <c r="BJ931" s="47"/>
    </row>
    <row r="932" spans="60:62" ht="15.75">
      <c r="BH932" s="47"/>
      <c r="BI932" s="47"/>
      <c r="BJ932" s="47"/>
    </row>
    <row r="933" spans="60:62" ht="15.75">
      <c r="BH933" s="47"/>
      <c r="BI933" s="47"/>
      <c r="BJ933" s="47"/>
    </row>
    <row r="934" spans="60:62" ht="15.75">
      <c r="BH934" s="47"/>
      <c r="BI934" s="47"/>
      <c r="BJ934" s="47"/>
    </row>
    <row r="935" spans="60:62" ht="15.75">
      <c r="BH935" s="47"/>
      <c r="BI935" s="47"/>
      <c r="BJ935" s="47"/>
    </row>
    <row r="936" spans="60:62" ht="15.75">
      <c r="BH936" s="47"/>
      <c r="BI936" s="47"/>
      <c r="BJ936" s="47"/>
    </row>
    <row r="937" spans="60:62" ht="15.75">
      <c r="BH937" s="47"/>
      <c r="BI937" s="47"/>
      <c r="BJ937" s="47"/>
    </row>
    <row r="938" spans="60:62" ht="15.75">
      <c r="BH938" s="47"/>
      <c r="BI938" s="47"/>
      <c r="BJ938" s="47"/>
    </row>
    <row r="939" spans="60:62" ht="15.75">
      <c r="BH939" s="47"/>
      <c r="BI939" s="47"/>
      <c r="BJ939" s="47"/>
    </row>
    <row r="940" spans="60:62" ht="15.75">
      <c r="BH940" s="47"/>
      <c r="BI940" s="47"/>
      <c r="BJ940" s="47"/>
    </row>
    <row r="941" spans="60:62" ht="15.75">
      <c r="BH941" s="47"/>
      <c r="BI941" s="47"/>
      <c r="BJ941" s="47"/>
    </row>
    <row r="942" spans="60:62" ht="15.75">
      <c r="BH942" s="47"/>
      <c r="BI942" s="47"/>
      <c r="BJ942" s="47"/>
    </row>
    <row r="943" spans="60:62" ht="15.75">
      <c r="BH943" s="47"/>
      <c r="BI943" s="47"/>
      <c r="BJ943" s="47"/>
    </row>
    <row r="944" spans="60:62" ht="15.75">
      <c r="BH944" s="47"/>
      <c r="BI944" s="47"/>
      <c r="BJ944" s="47"/>
    </row>
    <row r="945" spans="60:62" ht="15.75">
      <c r="BH945" s="47"/>
      <c r="BI945" s="47"/>
      <c r="BJ945" s="47"/>
    </row>
    <row r="946" spans="60:62" ht="15.75">
      <c r="BH946" s="47"/>
      <c r="BI946" s="47"/>
      <c r="BJ946" s="47"/>
    </row>
    <row r="947" spans="60:62" ht="15.75">
      <c r="BH947" s="47"/>
      <c r="BI947" s="47"/>
      <c r="BJ947" s="47"/>
    </row>
    <row r="948" spans="60:62" ht="15.75">
      <c r="BH948" s="47"/>
      <c r="BI948" s="47"/>
      <c r="BJ948" s="47"/>
    </row>
    <row r="949" spans="60:62" ht="15.75">
      <c r="BH949" s="47"/>
      <c r="BI949" s="47"/>
      <c r="BJ949" s="47"/>
    </row>
    <row r="950" spans="60:62" ht="15.75">
      <c r="BH950" s="47"/>
      <c r="BI950" s="47"/>
      <c r="BJ950" s="47"/>
    </row>
    <row r="951" spans="60:62" ht="15.75">
      <c r="BH951" s="47"/>
      <c r="BI951" s="47"/>
      <c r="BJ951" s="47"/>
    </row>
    <row r="952" spans="60:62" ht="15.75">
      <c r="BH952" s="47"/>
      <c r="BI952" s="47"/>
      <c r="BJ952" s="47"/>
    </row>
    <row r="953" spans="60:62" ht="15.75">
      <c r="BH953" s="47"/>
      <c r="BI953" s="47"/>
      <c r="BJ953" s="47"/>
    </row>
    <row r="954" spans="60:62" ht="15.75">
      <c r="BH954" s="47"/>
      <c r="BI954" s="47"/>
      <c r="BJ954" s="47"/>
    </row>
    <row r="955" spans="60:62" ht="15.75">
      <c r="BH955" s="47"/>
      <c r="BI955" s="47"/>
      <c r="BJ955" s="47"/>
    </row>
    <row r="956" spans="60:62" ht="15.75">
      <c r="BH956" s="47"/>
      <c r="BI956" s="47"/>
      <c r="BJ956" s="47"/>
    </row>
    <row r="957" spans="60:62" ht="15.75">
      <c r="BH957" s="47"/>
      <c r="BI957" s="47"/>
      <c r="BJ957" s="47"/>
    </row>
    <row r="958" spans="60:62" ht="15.75">
      <c r="BH958" s="47"/>
      <c r="BI958" s="47"/>
      <c r="BJ958" s="47"/>
    </row>
    <row r="959" spans="60:62" ht="15.75">
      <c r="BH959" s="47"/>
      <c r="BI959" s="47"/>
      <c r="BJ959" s="47"/>
    </row>
    <row r="960" spans="60:62" ht="15.75">
      <c r="BH960" s="47"/>
      <c r="BI960" s="47"/>
      <c r="BJ960" s="47"/>
    </row>
    <row r="961" spans="60:62" ht="15.75">
      <c r="BH961" s="47"/>
      <c r="BI961" s="47"/>
      <c r="BJ961" s="47"/>
    </row>
    <row r="962" spans="60:62" ht="15.75">
      <c r="BH962" s="47"/>
      <c r="BI962" s="47"/>
      <c r="BJ962" s="47"/>
    </row>
    <row r="963" spans="60:62" ht="15.75">
      <c r="BH963" s="47"/>
      <c r="BI963" s="47"/>
      <c r="BJ963" s="47"/>
    </row>
    <row r="964" spans="60:62" ht="15.75">
      <c r="BH964" s="47"/>
      <c r="BI964" s="47"/>
      <c r="BJ964" s="47"/>
    </row>
    <row r="965" spans="60:62" ht="15.75">
      <c r="BH965" s="47"/>
      <c r="BI965" s="47"/>
      <c r="BJ965" s="47"/>
    </row>
    <row r="966" spans="60:62" ht="15.75">
      <c r="BH966" s="47"/>
      <c r="BI966" s="47"/>
      <c r="BJ966" s="47"/>
    </row>
    <row r="967" spans="60:62" ht="15.75">
      <c r="BH967" s="47"/>
      <c r="BI967" s="47"/>
      <c r="BJ967" s="47"/>
    </row>
    <row r="968" spans="60:62" ht="15.75">
      <c r="BH968" s="47"/>
      <c r="BI968" s="47"/>
      <c r="BJ968" s="47"/>
    </row>
    <row r="969" spans="60:62" ht="15.75">
      <c r="BH969" s="47"/>
      <c r="BI969" s="47"/>
      <c r="BJ969" s="47"/>
    </row>
    <row r="970" spans="60:62" ht="15.75">
      <c r="BH970" s="47"/>
      <c r="BI970" s="47"/>
      <c r="BJ970" s="47"/>
    </row>
    <row r="971" spans="60:62" ht="15.75">
      <c r="BH971" s="47"/>
      <c r="BI971" s="47"/>
      <c r="BJ971" s="47"/>
    </row>
    <row r="972" spans="60:62" ht="15.75">
      <c r="BH972" s="47"/>
      <c r="BI972" s="47"/>
      <c r="BJ972" s="47"/>
    </row>
    <row r="973" spans="60:62" ht="15.75">
      <c r="BH973" s="47"/>
      <c r="BI973" s="47"/>
      <c r="BJ973" s="47"/>
    </row>
    <row r="974" spans="60:62" ht="15.75">
      <c r="BH974" s="47"/>
      <c r="BI974" s="47"/>
      <c r="BJ974" s="47"/>
    </row>
    <row r="975" spans="60:62" ht="15.75">
      <c r="BH975" s="47"/>
      <c r="BI975" s="47"/>
      <c r="BJ975" s="47"/>
    </row>
    <row r="976" spans="60:62" ht="15.75">
      <c r="BH976" s="47"/>
      <c r="BI976" s="47"/>
      <c r="BJ976" s="47"/>
    </row>
    <row r="977" spans="60:62" ht="15.75">
      <c r="BH977" s="47"/>
      <c r="BI977" s="47"/>
      <c r="BJ977" s="47"/>
    </row>
    <row r="978" spans="60:62" ht="15.75">
      <c r="BH978" s="47"/>
      <c r="BI978" s="47"/>
      <c r="BJ978" s="47"/>
    </row>
    <row r="979" spans="60:62" ht="15.75">
      <c r="BH979" s="47"/>
      <c r="BI979" s="47"/>
      <c r="BJ979" s="47"/>
    </row>
    <row r="980" spans="60:62" ht="15.75">
      <c r="BH980" s="47"/>
      <c r="BI980" s="47"/>
      <c r="BJ980" s="47"/>
    </row>
    <row r="981" spans="60:62" ht="15.75">
      <c r="BH981" s="47"/>
      <c r="BI981" s="47"/>
      <c r="BJ981" s="47"/>
    </row>
    <row r="982" spans="60:62" ht="15.75">
      <c r="BH982" s="47"/>
      <c r="BI982" s="47"/>
      <c r="BJ982" s="47"/>
    </row>
    <row r="983" spans="60:62" ht="15.75">
      <c r="BH983" s="47"/>
      <c r="BI983" s="47"/>
      <c r="BJ983" s="47"/>
    </row>
    <row r="984" spans="60:62" ht="15.75">
      <c r="BH984" s="47"/>
      <c r="BI984" s="47"/>
      <c r="BJ984" s="47"/>
    </row>
    <row r="985" spans="60:62" ht="15.75">
      <c r="BH985" s="47"/>
      <c r="BI985" s="47"/>
      <c r="BJ985" s="47"/>
    </row>
    <row r="986" spans="60:62" ht="15.75">
      <c r="BH986" s="47"/>
      <c r="BI986" s="47"/>
      <c r="BJ986" s="47"/>
    </row>
    <row r="987" spans="60:62" ht="15.75">
      <c r="BH987" s="47"/>
      <c r="BI987" s="47"/>
      <c r="BJ987" s="47"/>
    </row>
    <row r="988" spans="60:62" ht="15.75">
      <c r="BH988" s="47"/>
      <c r="BI988" s="47"/>
      <c r="BJ988" s="47"/>
    </row>
    <row r="989" spans="60:62" ht="15.75">
      <c r="BH989" s="47"/>
      <c r="BI989" s="47"/>
      <c r="BJ989" s="47"/>
    </row>
    <row r="990" spans="60:62" ht="15.75">
      <c r="BH990" s="47"/>
      <c r="BI990" s="47"/>
      <c r="BJ990" s="47"/>
    </row>
    <row r="991" spans="60:62" ht="15.75">
      <c r="BH991" s="47"/>
      <c r="BI991" s="47"/>
      <c r="BJ991" s="47"/>
    </row>
    <row r="992" spans="60:62" ht="15.75">
      <c r="BH992" s="47"/>
      <c r="BI992" s="47"/>
      <c r="BJ992" s="47"/>
    </row>
    <row r="993" spans="60:62" ht="15.75">
      <c r="BH993" s="47"/>
      <c r="BI993" s="47"/>
      <c r="BJ993" s="47"/>
    </row>
    <row r="994" spans="60:62" ht="15.75">
      <c r="BH994" s="47"/>
      <c r="BI994" s="47"/>
      <c r="BJ994" s="47"/>
    </row>
    <row r="995" spans="60:62" ht="15.75">
      <c r="BH995" s="47"/>
      <c r="BI995" s="47"/>
      <c r="BJ995" s="47"/>
    </row>
    <row r="996" spans="60:62" ht="15.75">
      <c r="BH996" s="47"/>
      <c r="BI996" s="47"/>
      <c r="BJ996" s="47"/>
    </row>
    <row r="997" spans="60:62" ht="15.75">
      <c r="BH997" s="47"/>
      <c r="BI997" s="47"/>
      <c r="BJ997" s="47"/>
    </row>
    <row r="998" spans="60:62" ht="15.75">
      <c r="BH998" s="47"/>
      <c r="BI998" s="47"/>
      <c r="BJ998" s="47"/>
    </row>
    <row r="999" spans="60:62" ht="15.75">
      <c r="BH999" s="47"/>
      <c r="BI999" s="47"/>
      <c r="BJ999" s="47"/>
    </row>
    <row r="1000" spans="60:62" ht="15.75">
      <c r="BH1000" s="47"/>
      <c r="BI1000" s="47"/>
      <c r="BJ1000" s="47"/>
    </row>
  </sheetData>
  <sheetProtection/>
  <mergeCells count="19">
    <mergeCell ref="AL18:AQ18"/>
    <mergeCell ref="AS17:AY17"/>
    <mergeCell ref="AS18:AY18"/>
    <mergeCell ref="A17:D17"/>
    <mergeCell ref="E17:G17"/>
    <mergeCell ref="H17:I17"/>
    <mergeCell ref="AL17:AQ17"/>
    <mergeCell ref="S17:V17"/>
    <mergeCell ref="X17:AB17"/>
    <mergeCell ref="N2:O2"/>
    <mergeCell ref="AS15:AY15"/>
    <mergeCell ref="BA15:BG15"/>
    <mergeCell ref="X18:AB18"/>
    <mergeCell ref="AD17:AI17"/>
    <mergeCell ref="AD18:AI18"/>
    <mergeCell ref="M3:O3"/>
    <mergeCell ref="M4:O4"/>
    <mergeCell ref="M5:O5"/>
    <mergeCell ref="BF18:BG18"/>
  </mergeCells>
  <printOptions/>
  <pageMargins left="1" right="0.5" top="0.5" bottom="0.506" header="0.5" footer="0.5"/>
  <pageSetup fitToWidth="3" fitToHeight="1" horizontalDpi="150" verticalDpi="150" orientation="landscape" scale="48"/>
  <drawing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workbookViewId="0" topLeftCell="A10">
      <selection activeCell="C15" sqref="C15"/>
    </sheetView>
  </sheetViews>
  <sheetFormatPr defaultColWidth="8.6640625" defaultRowHeight="15"/>
  <cols>
    <col min="1" max="1" width="9.4453125" style="0" customWidth="1"/>
    <col min="2" max="2" width="23.99609375" style="0" customWidth="1"/>
    <col min="3" max="3" width="12.88671875" style="0" customWidth="1"/>
    <col min="4" max="4" width="15.3359375" style="0" customWidth="1"/>
  </cols>
  <sheetData>
    <row r="1" spans="3:6" ht="27.75">
      <c r="C1" s="235" t="s">
        <v>60</v>
      </c>
      <c r="D1" s="235"/>
      <c r="E1" s="235"/>
      <c r="F1" s="235"/>
    </row>
    <row r="3" spans="2:12" ht="15.75">
      <c r="B3" s="12" t="s">
        <v>44</v>
      </c>
      <c r="C3" s="47" t="str">
        <f>IF(Data!B2="","",Data!B2)</f>
        <v>SteelTech</v>
      </c>
      <c r="F3" s="12" t="s">
        <v>73</v>
      </c>
      <c r="G3" s="236"/>
      <c r="H3" s="236"/>
      <c r="I3" s="236"/>
      <c r="J3" s="48"/>
      <c r="K3" s="48"/>
      <c r="L3" s="48"/>
    </row>
    <row r="4" spans="2:12" ht="15.75">
      <c r="B4" s="12" t="s">
        <v>45</v>
      </c>
      <c r="C4" s="47" t="str">
        <f>IF(Data!B3="","",Data!B3)</f>
        <v>G400</v>
      </c>
      <c r="G4" s="48"/>
      <c r="H4" s="48"/>
      <c r="I4" s="48"/>
      <c r="J4" s="48"/>
      <c r="K4" s="48"/>
      <c r="L4" s="48"/>
    </row>
    <row r="5" spans="2:12" ht="15.75">
      <c r="B5" s="12" t="s">
        <v>46</v>
      </c>
      <c r="C5" s="197">
        <f>IF(Data!B4="","",Data!B4)</f>
        <v>41487</v>
      </c>
      <c r="G5" s="236"/>
      <c r="H5" s="236"/>
      <c r="I5" s="236"/>
      <c r="J5" s="48"/>
      <c r="K5" s="48"/>
      <c r="L5" s="48"/>
    </row>
    <row r="6" spans="2:12" ht="15.75">
      <c r="B6" s="12" t="s">
        <v>47</v>
      </c>
      <c r="C6" s="47">
        <f>IF(Data!B5="","",Data!B5)</f>
        <v>6</v>
      </c>
      <c r="G6" s="48"/>
      <c r="H6" s="48"/>
      <c r="I6" s="48"/>
      <c r="J6" s="48"/>
      <c r="K6" s="48"/>
      <c r="L6" s="48"/>
    </row>
    <row r="7" spans="2:12" ht="15.75">
      <c r="B7" s="12" t="s">
        <v>48</v>
      </c>
      <c r="C7" s="47" t="str">
        <f>IF(Data!B6="","",Data!B6)</f>
        <v>G101237933</v>
      </c>
      <c r="G7" s="236"/>
      <c r="H7" s="236"/>
      <c r="I7" s="236"/>
      <c r="J7" s="48"/>
      <c r="K7" s="48"/>
      <c r="L7" s="48"/>
    </row>
    <row r="8" spans="2:12" ht="15.75">
      <c r="B8" s="12" t="s">
        <v>49</v>
      </c>
      <c r="C8" s="47">
        <f>IF(Data!B7=0,"",Data!B7)</f>
        <v>202</v>
      </c>
      <c r="G8" s="48"/>
      <c r="H8" s="48"/>
      <c r="I8" s="48"/>
      <c r="J8" s="48"/>
      <c r="K8" s="48"/>
      <c r="L8" s="48"/>
    </row>
    <row r="9" spans="2:12" ht="15.75">
      <c r="B9" s="12" t="s">
        <v>50</v>
      </c>
      <c r="C9" s="47">
        <f>IF(Data!B8="","",Data!B8)</f>
        <v>4</v>
      </c>
      <c r="G9" s="48"/>
      <c r="H9" s="48"/>
      <c r="I9" s="48"/>
      <c r="J9" s="48"/>
      <c r="K9" s="48"/>
      <c r="L9" s="48"/>
    </row>
    <row r="10" spans="7:12" ht="15.75">
      <c r="G10" s="48"/>
      <c r="H10" s="48"/>
      <c r="I10" s="48"/>
      <c r="J10" s="48"/>
      <c r="K10" s="48"/>
      <c r="L10" s="48"/>
    </row>
    <row r="11" spans="2:12" ht="15.75">
      <c r="B11" s="205" t="s">
        <v>183</v>
      </c>
      <c r="C11" s="205"/>
      <c r="D11" s="205"/>
      <c r="E11" s="205"/>
      <c r="G11" s="48"/>
      <c r="H11" s="48"/>
      <c r="I11" s="48"/>
      <c r="J11" s="48"/>
      <c r="K11" s="48"/>
      <c r="L11" s="48"/>
    </row>
    <row r="12" spans="2:12" ht="16.5" thickBot="1">
      <c r="B12" s="38"/>
      <c r="C12" s="38"/>
      <c r="D12" s="38"/>
      <c r="E12" s="38"/>
      <c r="G12" s="48"/>
      <c r="H12" s="48"/>
      <c r="I12" s="48"/>
      <c r="J12" s="48"/>
      <c r="K12" s="48"/>
      <c r="L12" s="48"/>
    </row>
    <row r="13" spans="3:12" ht="16.5" thickBot="1">
      <c r="C13" s="82" t="s">
        <v>64</v>
      </c>
      <c r="D13" s="82" t="s">
        <v>65</v>
      </c>
      <c r="G13" s="48"/>
      <c r="H13" s="48"/>
      <c r="I13" s="48"/>
      <c r="J13" s="48"/>
      <c r="K13" s="48"/>
      <c r="L13" s="48"/>
    </row>
    <row r="14" spans="2:12" ht="15.75">
      <c r="B14" s="83" t="s">
        <v>61</v>
      </c>
      <c r="C14" s="90">
        <f>'CSA B415.1 Calculations'!C8</f>
        <v>0.8514549866727589</v>
      </c>
      <c r="D14" s="50">
        <f>'CSA B415.1 Calculations'!D8</f>
        <v>0.9170803131442796</v>
      </c>
      <c r="E14" s="51"/>
      <c r="G14" s="48"/>
      <c r="H14" s="48"/>
      <c r="I14" s="48"/>
      <c r="J14" s="48"/>
      <c r="K14" s="48"/>
      <c r="L14" s="48"/>
    </row>
    <row r="15" spans="2:12" ht="15.75">
      <c r="B15" s="84" t="s">
        <v>62</v>
      </c>
      <c r="C15" s="91">
        <f>'CSA B415.1 Calculations'!C9</f>
        <v>0.9846088741710816</v>
      </c>
      <c r="D15" s="52">
        <f>'CSA B415.1 Calculations'!D9</f>
        <v>0.9846088741710816</v>
      </c>
      <c r="E15" s="51"/>
      <c r="G15" s="48"/>
      <c r="H15" s="48"/>
      <c r="I15" s="48"/>
      <c r="J15" s="48"/>
      <c r="K15" s="48"/>
      <c r="L15" s="48"/>
    </row>
    <row r="16" spans="2:12" ht="16.5" thickBot="1">
      <c r="B16" s="165" t="s">
        <v>63</v>
      </c>
      <c r="C16" s="166">
        <f>'CSA B415.1 Calculations'!C10</f>
        <v>0.864764688810649</v>
      </c>
      <c r="D16" s="167">
        <f>'CSA B415.1 Calculations'!D10</f>
        <v>0.9314158517171068</v>
      </c>
      <c r="E16" s="51"/>
      <c r="G16" s="48"/>
      <c r="H16" s="48"/>
      <c r="I16" s="48"/>
      <c r="J16" s="48"/>
      <c r="K16" s="48"/>
      <c r="L16" s="48"/>
    </row>
    <row r="17" spans="1:12" ht="16.5" thickBot="1">
      <c r="A17" s="172"/>
      <c r="B17" s="173"/>
      <c r="C17" s="174"/>
      <c r="D17" s="175"/>
      <c r="E17" s="176"/>
      <c r="G17" s="48"/>
      <c r="H17" s="48"/>
      <c r="I17" s="48"/>
      <c r="J17" s="48"/>
      <c r="K17" s="48"/>
      <c r="L17" s="48"/>
    </row>
    <row r="18" spans="2:12" ht="15.75">
      <c r="B18" s="83" t="s">
        <v>137</v>
      </c>
      <c r="C18" s="163">
        <f>'CSA B415.1 Calculations'!C11</f>
        <v>475969.22131394484</v>
      </c>
      <c r="D18" s="164">
        <f>'CSA B415.1 Calculations'!K7</f>
        <v>451508.2110921786</v>
      </c>
      <c r="E18" s="87" t="s">
        <v>140</v>
      </c>
      <c r="G18" s="48"/>
      <c r="H18" s="48"/>
      <c r="I18" s="48"/>
      <c r="J18" s="48"/>
      <c r="K18" s="48"/>
      <c r="L18" s="48"/>
    </row>
    <row r="19" spans="2:5" ht="15.75">
      <c r="B19" s="85" t="s">
        <v>138</v>
      </c>
      <c r="C19" s="92">
        <f>'CSA B415.1 Calculations'!C12</f>
        <v>28.10916227920433</v>
      </c>
      <c r="D19" s="57">
        <f>'CSA B415.1 Calculations'!K12</f>
        <v>61.95259366336635</v>
      </c>
      <c r="E19" s="88" t="s">
        <v>141</v>
      </c>
    </row>
    <row r="20" spans="2:5" ht="16.5" thickBot="1">
      <c r="B20" s="86" t="s">
        <v>139</v>
      </c>
      <c r="C20" s="93">
        <f>'CSA B415.1 Calculations'!M8</f>
        <v>559006.9102465365</v>
      </c>
      <c r="D20" s="94">
        <f>'CSA B415.1 Calculations'!K8</f>
        <v>530278.4271151465</v>
      </c>
      <c r="E20" s="89" t="s">
        <v>140</v>
      </c>
    </row>
    <row r="21" spans="1:5" ht="16.5" thickBot="1">
      <c r="A21" s="172"/>
      <c r="B21" s="160"/>
      <c r="C21" s="168"/>
      <c r="D21" s="169"/>
      <c r="E21" s="170"/>
    </row>
    <row r="22" spans="1:5" ht="16.5" thickBot="1">
      <c r="A22" s="172"/>
      <c r="B22" s="60" t="s">
        <v>142</v>
      </c>
      <c r="C22" s="179">
        <f>'CSA B415.1 Calculations'!AD5</f>
        <v>94.63417967332124</v>
      </c>
      <c r="D22" s="178">
        <f>C22*2.204</f>
        <v>208.57373200000004</v>
      </c>
      <c r="E22" s="177" t="s">
        <v>143</v>
      </c>
    </row>
    <row r="23" spans="2:5" ht="15.75">
      <c r="B23" s="53" t="s">
        <v>72</v>
      </c>
      <c r="C23" s="58">
        <f>'CSA B415.1 Calculations'!C15</f>
        <v>19.17</v>
      </c>
      <c r="D23" s="56"/>
      <c r="E23" s="51"/>
    </row>
    <row r="24" spans="2:5" ht="15.75">
      <c r="B24" s="53" t="s">
        <v>144</v>
      </c>
      <c r="C24" s="57">
        <f>'CSA B415.1 Calculations'!AD6</f>
        <v>23.716441915130517</v>
      </c>
      <c r="D24" s="56"/>
      <c r="E24" s="51"/>
    </row>
    <row r="25" spans="2:5" ht="15.75">
      <c r="B25" s="53" t="s">
        <v>145</v>
      </c>
      <c r="C25" s="58">
        <f>Data!C13</f>
        <v>42.306</v>
      </c>
      <c r="D25" s="56"/>
      <c r="E25" s="51"/>
    </row>
    <row r="26" spans="2:5" ht="15.75">
      <c r="B26" s="53" t="s">
        <v>146</v>
      </c>
      <c r="C26" s="59">
        <f>'CSA B415.1 Calculations'!C13</f>
        <v>1922.986611128096</v>
      </c>
      <c r="D26" s="56"/>
      <c r="E26" s="51"/>
    </row>
    <row r="27" spans="2:5" ht="16.5" thickBot="1">
      <c r="B27" s="55" t="s">
        <v>147</v>
      </c>
      <c r="C27" s="69">
        <f>'CSA B415.1 Calculations'!K10</f>
        <v>3.3666666666666667</v>
      </c>
      <c r="D27" s="56"/>
      <c r="E27" s="51"/>
    </row>
    <row r="28" spans="1:5" ht="16.5" thickBot="1">
      <c r="A28" s="172"/>
      <c r="B28" s="160"/>
      <c r="C28" s="171"/>
      <c r="D28" s="56"/>
      <c r="E28" s="51"/>
    </row>
    <row r="29" spans="2:5" ht="15.75">
      <c r="B29" s="60" t="s">
        <v>66</v>
      </c>
      <c r="C29" s="61" t="s">
        <v>67</v>
      </c>
      <c r="D29" s="62" t="s">
        <v>5</v>
      </c>
      <c r="E29" s="51"/>
    </row>
    <row r="30" spans="2:5" ht="15.75">
      <c r="B30" s="53" t="s">
        <v>148</v>
      </c>
      <c r="C30" s="54">
        <f>C25/(C18/1000*C27)</f>
        <v>0.02640115799751026</v>
      </c>
      <c r="D30" s="57">
        <f>C26/(C18/1000*C27)</f>
        <v>1.2000442808937193</v>
      </c>
      <c r="E30" s="51"/>
    </row>
    <row r="31" spans="2:5" ht="15.75">
      <c r="B31" s="53" t="s">
        <v>188</v>
      </c>
      <c r="C31" s="54">
        <f>C25/'CSA B415.1 Calculations'!AD5</f>
        <v>0.4470477806860165</v>
      </c>
      <c r="D31" s="57">
        <f>C26/'CSA B415.1 Calculations'!AD5</f>
        <v>20.3202121872486</v>
      </c>
      <c r="E31" s="51"/>
    </row>
    <row r="32" spans="2:5" ht="15.75">
      <c r="B32" s="53" t="s">
        <v>189</v>
      </c>
      <c r="C32" s="54">
        <f>C25/C27</f>
        <v>12.566138613861385</v>
      </c>
      <c r="D32" s="57">
        <f>C26/C27</f>
        <v>571.1841419192365</v>
      </c>
      <c r="E32" s="51"/>
    </row>
    <row r="33" spans="2:5" ht="16.5" thickBot="1">
      <c r="B33" s="55" t="s">
        <v>150</v>
      </c>
      <c r="C33" s="63">
        <f>(C25/453.59)/(D18*C27/1000000)</f>
        <v>0.061358215703751155</v>
      </c>
      <c r="D33" s="69">
        <f>(C26/453.59)/(D18*C27/1000000)</f>
        <v>2.788990386257816</v>
      </c>
      <c r="E33" s="51"/>
    </row>
    <row r="34" ht="16.5" thickBot="1"/>
    <row r="35" spans="2:3" ht="16.5" thickBot="1">
      <c r="B35" s="161" t="s">
        <v>149</v>
      </c>
      <c r="C35" s="162">
        <f>'CSA B415.1 Calculations'!P5</f>
        <v>4.490011417767356</v>
      </c>
    </row>
    <row r="37" spans="1:3" ht="15.75">
      <c r="A37" s="65" t="str">
        <f>Data!A1</f>
        <v>VERSION:</v>
      </c>
      <c r="B37" s="156">
        <v>2.2</v>
      </c>
      <c r="C37" s="66">
        <v>40161</v>
      </c>
    </row>
  </sheetData>
  <sheetProtection/>
  <mergeCells count="5">
    <mergeCell ref="B11:E11"/>
    <mergeCell ref="C1:F1"/>
    <mergeCell ref="G3:I3"/>
    <mergeCell ref="G5:I5"/>
    <mergeCell ref="G7:I7"/>
  </mergeCells>
  <printOptions/>
  <pageMargins left="0.75" right="0.75" top="1" bottom="1" header="0.5" footer="0.5"/>
  <pageSetup fitToHeight="1" fitToWidth="1" horizontalDpi="300" verticalDpi="300" orientation="portrait" scale="70"/>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M5" sqref="M5"/>
    </sheetView>
  </sheetViews>
  <sheetFormatPr defaultColWidth="8.6640625" defaultRowHeight="15"/>
  <sheetData/>
  <sheetProtection/>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Intertek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CSA B415.1 Efficiency Calculation</dc:title>
  <dc:subject>Stack Loss Efficiency Determination</dc:subject>
  <dc:creator>R. Curkeet</dc:creator>
  <cp:keywords/>
  <dc:description/>
  <cp:lastModifiedBy>Bob Gair</cp:lastModifiedBy>
  <cp:lastPrinted>2009-12-14T17:17:35Z</cp:lastPrinted>
  <dcterms:created xsi:type="dcterms:W3CDTF">2008-03-20T21:27:17Z</dcterms:created>
  <dcterms:modified xsi:type="dcterms:W3CDTF">2015-05-11T18:06:11Z</dcterms:modified>
  <cp:category/>
  <cp:version/>
  <cp:contentType/>
  <cp:contentStatus/>
</cp:coreProperties>
</file>